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rdana.mazalovic\Desktop\GORDANA DOKUMENTI\FINANCIJSKI PLANOVI\Financijski plan 2023-2025\USKLAĐENI FINANCIJSKI PLAN-USVOJEN U SABORU I FV\"/>
    </mc:Choice>
  </mc:AlternateContent>
  <xr:revisionPtr revIDLastSave="0" documentId="13_ncr:1_{B03A9424-A4BD-4281-8231-1D8994AB2CCE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735" yWindow="735" windowWidth="28020" windowHeight="1479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'p4'!$B$1:$B$1116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1">'Unos prihoda i primitaka'!$A$2:$I$3,'Unos prihoda i primitaka'!$G$14</definedName>
    <definedName name="_xlnm.Print_Area" localSheetId="2">'Unos rashoda i izdataka'!$A$2:$L$3,'Unos rashoda i izdataka'!$L$5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7" l="1"/>
  <c r="L3" i="17"/>
  <c r="K4" i="17"/>
  <c r="K3" i="17"/>
  <c r="J4" i="17"/>
  <c r="J3" i="17"/>
  <c r="L18" i="17"/>
  <c r="L17" i="17"/>
  <c r="K18" i="17"/>
  <c r="K17" i="17"/>
  <c r="J18" i="17"/>
  <c r="J17" i="17"/>
  <c r="L21" i="17" l="1"/>
  <c r="K21" i="17"/>
  <c r="J21" i="17"/>
  <c r="L9" i="17"/>
  <c r="K9" i="17"/>
  <c r="J9" i="17"/>
  <c r="L5" i="17"/>
  <c r="K5" i="17"/>
  <c r="J5" i="17"/>
  <c r="J10" i="17"/>
  <c r="L19" i="17"/>
  <c r="L14" i="17"/>
  <c r="K14" i="17"/>
  <c r="K19" i="17"/>
  <c r="N150" i="17" l="1"/>
  <c r="J14" i="17"/>
  <c r="D5" i="34"/>
  <c r="M39" i="4"/>
  <c r="N153" i="17"/>
  <c r="N151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9" i="25"/>
  <c r="AG41" i="25"/>
  <c r="AG49" i="25"/>
  <c r="AG57" i="25"/>
  <c r="AG65" i="25"/>
  <c r="AG77" i="25"/>
  <c r="AG81" i="25"/>
  <c r="AG109" i="25"/>
  <c r="AG121" i="25"/>
  <c r="AG137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E66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<sst xmlns="http://schemas.openxmlformats.org/spreadsheetml/2006/main" count="13844" uniqueCount="5283">
  <si>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</si>
  <si>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</si>
  <si>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</si>
  <si>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</si>
  <si>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</si>
  <si>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</si>
  <si>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</si>
  <si>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</si>
  <si>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</si>
  <si>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</si>
  <si>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</si>
  <si>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</si>
  <si>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</si>
  <si>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</si>
  <si>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</si>
  <si>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</si>
  <si>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</si>
  <si>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</si>
  <si>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</si>
  <si>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</si>
  <si>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</si>
  <si>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</si>
  <si>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</si>
  <si>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</si>
  <si>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</si>
  <si>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</si>
  <si>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</si>
  <si>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</si>
  <si>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</si>
  <si>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</si>
  <si>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</si>
  <si>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</si>
  <si>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</si>
  <si>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</si>
  <si>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</si>
  <si>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</si>
  <si>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</si>
  <si>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</si>
  <si>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</si>
  <si>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</si>
  <si>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</si>
  <si>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</si>
  <si>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</si>
  <si>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</si>
  <si>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</si>
  <si>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</si>
  <si>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</si>
  <si>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</si>
  <si>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</si>
  <si>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</si>
  <si>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</si>
  <si>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</si>
  <si>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</si>
  <si>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</si>
  <si>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</si>
  <si>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</si>
  <si>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</si>
  <si>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</si>
  <si>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</si>
  <si>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</si>
  <si>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</si>
  <si>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</si>
  <si>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</si>
  <si>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</si>
  <si>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</si>
  <si>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</si>
  <si>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</si>
  <si>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</si>
  <si>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</si>
  <si>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</si>
  <si>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</si>
  <si>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</si>
  <si>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</si>
  <si>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</si>
  <si>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</si>
  <si>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</si>
  <si>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</si>
  <si>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</si>
  <si>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</si>
  <si>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</si>
  <si>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</si>
  <si>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</si>
  <si>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</si>
  <si>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</si>
  <si>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</si>
  <si>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</si>
  <si>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</si>
  <si>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</si>
  <si>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</si>
  <si>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</si>
  <si>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</si>
  <si>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</si>
  <si>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</si>
  <si>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</si>
  <si>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</si>
  <si>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</si>
  <si>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</si>
  <si>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</si>
  <si>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</si>
  <si>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</si>
  <si>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</si>
  <si>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</si>
  <si>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</si>
  <si>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</si>
  <si>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</si>
  <si>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</si>
  <si>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</si>
  <si>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</si>
  <si>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</si>
  <si>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</si>
  <si>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</si>
  <si>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</si>
  <si>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</si>
  <si>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</si>
  <si>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</si>
  <si>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</si>
  <si>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</si>
  <si>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</si>
  <si>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</si>
  <si>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</si>
  <si>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</si>
  <si>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</si>
  <si>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</si>
  <si>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</si>
  <si>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</si>
  <si>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</si>
  <si>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</si>
  <si>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</si>
  <si>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</si>
  <si>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</si>
  <si>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</si>
  <si>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</si>
  <si>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</si>
  <si>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</si>
  <si>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</si>
  <si>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</si>
  <si>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</si>
  <si>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</si>
  <si>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</si>
  <si>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</si>
  <si>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</si>
  <si>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</si>
  <si>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</si>
  <si>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</si>
  <si>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</si>
  <si>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</si>
  <si>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</si>
  <si>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</si>
  <si>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</si>
  <si>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</si>
  <si>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</si>
  <si>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</si>
  <si>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</si>
  <si>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</si>
  <si>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</si>
  <si>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</si>
  <si>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</si>
  <si>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</si>
  <si>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</si>
  <si>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</si>
  <si>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</si>
  <si>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</si>
  <si>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</si>
  <si>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</si>
  <si>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</si>
  <si>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</si>
  <si>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</si>
  <si>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</si>
  <si>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</si>
  <si>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</si>
  <si>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</si>
  <si>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</si>
  <si>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</si>
  <si>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</si>
  <si>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</si>
  <si>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</si>
  <si>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</si>
  <si>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</si>
  <si>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</si>
  <si>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</si>
  <si>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</si>
  <si>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</si>
  <si>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</si>
  <si>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</si>
  <si>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</si>
  <si>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</si>
  <si>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</si>
  <si>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</si>
  <si>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</si>
  <si>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</si>
  <si>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</si>
  <si>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</si>
  <si>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</si>
  <si>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</si>
  <si>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</si>
  <si>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</si>
  <si>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</si>
  <si>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</si>
  <si>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</si>
  <si>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</si>
  <si>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</si>
  <si>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</si>
  <si>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</si>
  <si>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</si>
  <si>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</si>
  <si>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</si>
  <si>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</si>
  <si>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</si>
  <si>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</si>
  <si>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</si>
  <si>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</si>
  <si>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</si>
  <si>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</si>
  <si>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</si>
  <si>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</si>
  <si>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</si>
  <si>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</si>
  <si>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</si>
  <si>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</si>
  <si>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</si>
  <si>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</si>
  <si>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</si>
  <si>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</si>
  <si>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</si>
  <si>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</si>
  <si>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</si>
  <si>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</si>
  <si>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</si>
  <si>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</si>
  <si>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</si>
  <si>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</si>
  <si>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</si>
  <si>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</si>
  <si>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</si>
  <si>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</si>
  <si>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</si>
  <si>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</si>
  <si>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</si>
  <si>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</si>
  <si>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</si>
  <si>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</si>
  <si>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</si>
  <si>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</si>
  <si>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</si>
  <si>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</si>
  <si>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</si>
  <si>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</si>
  <si>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</si>
  <si>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</si>
  <si>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</si>
  <si>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</si>
  <si>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</si>
  <si>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</si>
  <si>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</si>
  <si>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</si>
  <si>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</si>
  <si>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</si>
  <si>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</si>
  <si>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</si>
  <si>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</si>
  <si>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</si>
  <si>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</si>
  <si>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</si>
  <si>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</si>
  <si>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</si>
  <si>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</si>
  <si>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</si>
  <si>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</si>
  <si>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</si>
  <si>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</si>
  <si>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</si>
  <si>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</si>
  <si>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</si>
  <si>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</si>
  <si>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</si>
  <si>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</si>
  <si>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</si>
  <si>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</si>
  <si>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</si>
  <si>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</si>
  <si>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</si>
  <si>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</si>
  <si>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</si>
  <si>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</si>
  <si>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</si>
  <si>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</si>
  <si>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</si>
  <si>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</si>
  <si>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</si>
  <si>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</si>
  <si>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</si>
  <si>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</si>
  <si>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</si>
  <si>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</si>
  <si>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</si>
  <si>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</si>
  <si>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</si>
  <si>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</si>
  <si>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</si>
  <si>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</si>
  <si>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</si>
  <si>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</si>
  <si>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</si>
  <si>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</si>
  <si>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</si>
  <si>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</si>
  <si>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</si>
  <si>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</si>
  <si>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</si>
  <si>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</si>
  <si>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</si>
  <si>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</si>
  <si>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</si>
  <si>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</si>
  <si>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</si>
  <si>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</si>
  <si>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</si>
  <si>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</si>
  <si>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</si>
  <si>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</si>
  <si>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</si>
  <si>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</si>
  <si>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</si>
  <si>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</si>
  <si>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</si>
  <si>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</si>
  <si>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</si>
  <si>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</si>
  <si>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</si>
  <si>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</si>
  <si>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</si>
  <si>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</si>
  <si>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</si>
  <si>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</si>
  <si>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</si>
  <si>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</si>
  <si>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</si>
  <si>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</si>
  <si>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</si>
  <si>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</si>
  <si>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</si>
  <si>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</si>
  <si>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</si>
  <si>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</si>
  <si>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</si>
  <si>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</si>
  <si>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</si>
  <si>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</si>
  <si>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</si>
  <si>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</si>
  <si>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</si>
  <si>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</si>
  <si>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</si>
  <si>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</si>
  <si>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</si>
  <si>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</si>
  <si>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</si>
  <si>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</si>
  <si>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</si>
  <si>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</si>
  <si>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</si>
  <si>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</si>
  <si>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</si>
  <si>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</si>
  <si>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</si>
  <si>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</si>
  <si>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</si>
  <si>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</si>
  <si>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</si>
  <si>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</si>
  <si>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</si>
  <si>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</si>
  <si>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</si>
  <si>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</si>
  <si>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</si>
  <si>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</si>
  <si>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</si>
  <si>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</si>
  <si>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</si>
  <si>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</si>
  <si>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</si>
  <si>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</si>
  <si>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</si>
  <si>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</si>
  <si>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</si>
  <si>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</si>
  <si>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</si>
  <si>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</si>
  <si>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</si>
  <si>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</si>
  <si>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</si>
  <si>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</si>
  <si>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</si>
  <si>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</si>
  <si>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</si>
  <si>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</si>
  <si>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</si>
  <si>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</si>
  <si>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</si>
  <si>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</si>
  <si>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</si>
  <si>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</si>
  <si>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</si>
  <si>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</si>
  <si>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</si>
  <si>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</si>
  <si>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</si>
  <si>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</si>
  <si>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</si>
  <si>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</si>
  <si>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</si>
  <si>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</si>
  <si>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</si>
  <si>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</si>
  <si>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</si>
  <si>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</si>
  <si>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</si>
  <si>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</si>
  <si>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</si>
  <si>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</si>
  <si>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</si>
  <si>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</si>
  <si>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</si>
  <si>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</si>
  <si>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</si>
  <si>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</si>
  <si>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</si>
  <si>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</si>
  <si>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</si>
  <si>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</si>
  <si>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</si>
  <si>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</si>
  <si>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</si>
  <si>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</si>
  <si>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</si>
  <si>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</si>
  <si>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</si>
  <si>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</si>
  <si>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</si>
  <si>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</si>
  <si>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</si>
  <si>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</si>
  <si>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</si>
  <si>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</si>
  <si>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</si>
  <si>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</si>
  <si>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</si>
  <si>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</si>
  <si>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</si>
  <si>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</si>
  <si>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</si>
  <si>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</si>
  <si>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</si>
  <si>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</si>
  <si>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</si>
  <si>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</si>
  <si>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</si>
  <si>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</si>
  <si>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</si>
  <si>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</si>
  <si>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</si>
  <si>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</si>
  <si>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</si>
  <si>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</si>
  <si>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</si>
  <si>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</si>
  <si>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</si>
  <si>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</si>
  <si>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</si>
  <si>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</si>
  <si>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</si>
  <si>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</si>
  <si>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</si>
  <si>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</si>
  <si>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</si>
  <si>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</si>
  <si>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</si>
  <si>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</si>
  <si>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</si>
  <si>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</si>
  <si>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</si>
  <si>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</si>
  <si>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</si>
  <si>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</si>
  <si>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</si>
  <si>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</si>
  <si>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</si>
  <si>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</si>
  <si>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</si>
  <si>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</si>
  <si>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</si>
  <si>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</si>
  <si>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</si>
  <si>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</si>
  <si>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</si>
  <si>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</si>
  <si>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</si>
  <si>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</si>
  <si>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</si>
  <si>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</si>
  <si>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</si>
  <si>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</si>
  <si>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</si>
  <si>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</si>
  <si>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</si>
  <si>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</si>
  <si>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</si>
  <si>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</si>
  <si>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</si>
  <si>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</si>
  <si>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</si>
  <si>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</si>
  <si>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</si>
  <si>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</si>
  <si>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</si>
  <si>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</si>
  <si>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</si>
  <si>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</si>
  <si>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</si>
  <si>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</si>
  <si>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</si>
  <si>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</si>
  <si>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</si>
  <si>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</si>
  <si>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</si>
  <si>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</si>
  <si>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</si>
  <si>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</si>
  <si>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</si>
  <si>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</si>
  <si>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</si>
  <si>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</si>
  <si>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</si>
  <si>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</si>
  <si>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</si>
  <si>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</si>
  <si>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</si>
  <si>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</si>
  <si>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</si>
  <si>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</si>
  <si>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</si>
  <si>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</si>
  <si>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</si>
  <si>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</si>
  <si>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</si>
  <si>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</si>
  <si>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</si>
  <si>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</si>
  <si>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</si>
  <si>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</si>
  <si>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</si>
  <si>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</si>
  <si>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</si>
  <si>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</si>
  <si>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</si>
  <si>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</si>
  <si>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</si>
  <si>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</si>
  <si>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</si>
  <si>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</si>
  <si>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</si>
  <si>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</si>
  <si>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</si>
  <si>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</si>
  <si>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</si>
  <si>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</si>
  <si>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</si>
  <si>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</si>
  <si>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</si>
  <si>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</si>
  <si>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</si>
  <si>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</si>
  <si>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</si>
  <si>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</si>
  <si>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</si>
  <si>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</si>
  <si>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</si>
  <si>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</si>
  <si>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</si>
  <si>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</si>
  <si>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</si>
  <si>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</si>
  <si>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</si>
  <si>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</si>
  <si>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</si>
  <si>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</si>
  <si>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</si>
  <si>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</si>
  <si>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</si>
  <si>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</si>
  <si>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</si>
  <si>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</si>
  <si>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</si>
  <si>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</si>
  <si>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</si>
  <si>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</si>
  <si>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</si>
  <si>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</si>
  <si>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</si>
  <si>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</si>
  <si>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</si>
  <si>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</si>
  <si>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</si>
  <si>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</si>
  <si>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</si>
  <si>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</si>
  <si>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</si>
  <si>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</si>
  <si>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</si>
  <si>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</si>
  <si>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</si>
  <si>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</si>
  <si>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</si>
  <si>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</si>
  <si>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</si>
  <si>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</si>
  <si>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</si>
  <si>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</si>
  <si>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</si>
  <si>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</si>
  <si>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</si>
  <si>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</si>
  <si>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</si>
  <si>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</si>
  <si>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</si>
  <si>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</si>
  <si>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</si>
  <si>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</si>
  <si>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</si>
  <si>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</si>
  <si>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</si>
  <si>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</si>
  <si>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</si>
  <si>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</si>
  <si>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</si>
  <si>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</si>
  <si>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</si>
  <si>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</si>
  <si>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</si>
  <si>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</si>
  <si>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</si>
  <si>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</si>
  <si>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</si>
  <si>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</si>
  <si>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</si>
  <si>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</si>
  <si>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</si>
  <si>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</si>
  <si>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</si>
  <si>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</si>
  <si>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</si>
  <si>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</si>
  <si>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</si>
  <si>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</si>
  <si>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</si>
  <si>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</si>
  <si>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</si>
  <si>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</si>
  <si>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</si>
  <si>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</si>
  <si>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</si>
  <si>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</si>
  <si>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</si>
  <si>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</si>
  <si>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</si>
  <si>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</si>
  <si>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</si>
  <si>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</si>
  <si>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</si>
  <si>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</si>
  <si>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</si>
  <si>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</si>
  <si>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</si>
  <si>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</si>
  <si>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</si>
  <si>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</si>
  <si>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</si>
  <si>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</si>
  <si>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</si>
  <si>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</si>
  <si>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</si>
  <si>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</si>
  <si>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</si>
  <si>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</si>
  <si>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</si>
  <si>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</si>
  <si>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</si>
  <si>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</si>
  <si>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</si>
  <si>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</si>
  <si>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</si>
  <si>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</si>
  <si>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</si>
  <si>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</si>
  <si>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</si>
  <si>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</si>
  <si>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</si>
  <si>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</si>
  <si>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</si>
  <si>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</si>
  <si>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</si>
  <si>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</si>
  <si>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</si>
  <si>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</si>
  <si>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</si>
  <si>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</si>
  <si>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</si>
  <si>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</si>
  <si>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</si>
  <si>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</si>
  <si>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</si>
  <si>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</si>
  <si>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</si>
  <si>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</si>
  <si>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</si>
  <si>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</si>
  <si>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</si>
  <si>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</si>
  <si>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</si>
  <si>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</si>
  <si>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</si>
  <si>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</si>
  <si>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</si>
  <si>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</si>
  <si>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</si>
  <si>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</si>
  <si>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</si>
  <si>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</si>
  <si>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</si>
  <si>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</si>
  <si>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</si>
  <si>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</si>
  <si>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</si>
  <si>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</si>
  <si>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</si>
  <si>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</si>
  <si>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</si>
  <si>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</si>
  <si>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</si>
  <si>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</si>
  <si>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</si>
  <si>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</si>
  <si>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</si>
  <si>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</si>
  <si>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</si>
  <si>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</si>
  <si>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</si>
  <si>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</si>
  <si>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</si>
  <si>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</si>
  <si>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</si>
  <si>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</si>
  <si>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</si>
  <si>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</si>
  <si>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</si>
  <si>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</si>
  <si>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</si>
  <si>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</si>
  <si>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</si>
  <si>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</si>
  <si>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</si>
  <si>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</si>
  <si>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</si>
  <si>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</si>
  <si>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</si>
  <si>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</si>
  <si>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</si>
  <si>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</si>
  <si>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</si>
  <si>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</si>
  <si>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</si>
  <si>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</si>
  <si>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</si>
  <si>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</si>
  <si>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</si>
  <si>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</si>
  <si>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</si>
  <si>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</si>
  <si>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</si>
  <si>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</si>
  <si>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</si>
  <si>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</si>
  <si>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</si>
  <si>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</si>
  <si>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</si>
  <si>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</si>
  <si>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</si>
  <si>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</si>
  <si>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</si>
  <si>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</si>
  <si>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</si>
  <si>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</si>
  <si>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</si>
  <si>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</si>
  <si>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</si>
  <si>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</si>
  <si>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</si>
  <si>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</si>
  <si>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</si>
  <si>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</si>
  <si>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</si>
  <si>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</si>
  <si>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</si>
  <si>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</si>
  <si>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</si>
  <si>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</si>
  <si>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</si>
  <si>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</si>
  <si>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</si>
  <si>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</si>
  <si>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</si>
  <si>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</si>
  <si>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</si>
  <si>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</si>
  <si>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</si>
  <si>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</si>
  <si>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</si>
  <si>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</si>
  <si>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</si>
  <si>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</si>
  <si>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</si>
  <si>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</si>
  <si>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</si>
  <si>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</si>
  <si>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</si>
  <si>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</si>
  <si>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</si>
  <si>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</si>
  <si>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</si>
  <si>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</si>
  <si>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</si>
  <si>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</si>
  <si>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</si>
  <si>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</si>
  <si>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</si>
  <si>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</si>
  <si>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</si>
  <si>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</si>
  <si>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</si>
  <si>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</si>
  <si>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</si>
  <si>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</si>
  <si>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</si>
  <si>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</si>
  <si>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</si>
  <si>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</si>
  <si>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</si>
  <si>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</si>
  <si>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</si>
  <si>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</si>
  <si>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</si>
  <si>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</si>
  <si>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</si>
  <si>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</si>
  <si>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</si>
  <si>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</si>
  <si>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</si>
  <si>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</si>
  <si>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</si>
  <si>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</si>
  <si>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</si>
  <si>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</si>
  <si>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</si>
  <si>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</si>
  <si>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</si>
  <si>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</si>
  <si>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</si>
  <si>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</si>
  <si>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</si>
  <si>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</si>
  <si>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</si>
  <si>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</si>
  <si>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</si>
  <si>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</si>
  <si>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</si>
  <si>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</si>
  <si>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</si>
  <si>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</si>
  <si>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</si>
  <si>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</si>
  <si>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</si>
  <si>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</si>
  <si>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</si>
  <si>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</si>
  <si>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</si>
  <si>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</si>
  <si>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</si>
  <si>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</si>
  <si>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</si>
  <si>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</si>
  <si>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</si>
  <si>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</si>
  <si>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</si>
  <si>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</si>
  <si>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</si>
  <si>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</si>
  <si>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</si>
  <si>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</si>
  <si>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</si>
  <si>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</si>
  <si>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</si>
  <si>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</si>
  <si>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</si>
  <si>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</si>
  <si>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</si>
  <si>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</si>
  <si>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</si>
  <si>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</si>
  <si>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</si>
  <si>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</si>
  <si>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</si>
  <si>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</si>
  <si>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</si>
  <si>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</si>
  <si>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</si>
  <si>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</si>
  <si>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</si>
  <si>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</si>
  <si>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</si>
  <si>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</si>
  <si>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</si>
  <si>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</si>
  <si>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</si>
  <si>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</si>
  <si>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</si>
  <si>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</si>
  <si>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</si>
  <si>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</si>
  <si>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</si>
  <si>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</si>
  <si>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</si>
  <si>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</si>
  <si>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</si>
  <si>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</si>
  <si>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</si>
  <si>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</si>
  <si>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</si>
  <si>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</si>
  <si>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</si>
  <si>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</si>
  <si>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</si>
  <si>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</si>
  <si>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</si>
  <si>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</si>
  <si>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</si>
  <si>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</si>
  <si>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</si>
  <si>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</si>
  <si>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</si>
  <si>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</si>
  <si>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</si>
  <si>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</si>
  <si>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</si>
  <si>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</si>
  <si>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</si>
  <si>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</si>
  <si>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</si>
  <si>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</si>
  <si>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</si>
  <si>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</si>
  <si>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</si>
  <si>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</si>
  <si>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</si>
  <si>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</si>
  <si>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</si>
  <si>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</si>
  <si>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</si>
  <si>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</si>
  <si>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</si>
  <si>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</si>
  <si>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</si>
  <si>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</si>
  <si>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</si>
  <si>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</si>
  <si>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</si>
  <si>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</si>
  <si>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</si>
  <si>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</si>
  <si>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</si>
  <si>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</si>
  <si>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</si>
  <si>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</si>
  <si>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</si>
  <si>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</si>
  <si>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</si>
  <si>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</si>
  <si>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</si>
  <si>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</si>
  <si>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</si>
  <si>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</si>
  <si>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</si>
  <si>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</si>
  <si>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</si>
  <si>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</si>
  <si>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</si>
  <si>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</si>
  <si>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</si>
  <si>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</si>
  <si>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</si>
  <si>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</si>
  <si>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</si>
  <si>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</si>
  <si>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</si>
  <si>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</si>
  <si>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</si>
  <si>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</si>
  <si>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</si>
  <si>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</si>
  <si>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</si>
  <si>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</si>
  <si>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</si>
  <si>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</si>
  <si>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</si>
  <si>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</si>
  <si>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</si>
  <si>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</si>
  <si>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</si>
  <si>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</si>
  <si>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</si>
  <si>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</si>
  <si>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</si>
  <si>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</si>
  <si>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</si>
  <si>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</si>
  <si>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</si>
  <si>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</si>
  <si>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</si>
  <si>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</si>
  <si>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</si>
  <si>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</si>
  <si>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</si>
  <si>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</si>
  <si>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</si>
  <si>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</si>
  <si>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</si>
  <si>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</si>
  <si>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</si>
  <si>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</si>
  <si>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</si>
  <si>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</si>
  <si>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</si>
  <si>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</si>
  <si>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</si>
  <si>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</si>
  <si>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</si>
  <si>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</si>
  <si>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</si>
  <si>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</si>
  <si>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</si>
  <si>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</si>
  <si>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</si>
  <si>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</si>
  <si>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</si>
  <si>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</si>
  <si>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</si>
  <si>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</si>
  <si>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</si>
  <si>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</si>
  <si>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</si>
  <si>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</si>
  <si>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</si>
  <si>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</si>
  <si>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</si>
  <si>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</si>
  <si>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</si>
  <si>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</si>
  <si>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</si>
  <si>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</si>
  <si>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</si>
  <si>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</si>
  <si>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</si>
  <si>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</si>
  <si>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</si>
  <si>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</si>
  <si>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</si>
  <si>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</si>
  <si>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</si>
  <si>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</si>
  <si>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</si>
  <si>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</si>
  <si>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</si>
  <si>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</si>
  <si>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</si>
  <si>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</si>
  <si>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</si>
  <si>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</si>
  <si>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</si>
  <si>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</si>
  <si>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</si>
  <si>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</si>
  <si>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</si>
  <si>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</si>
  <si>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</si>
  <si>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</si>
  <si>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</si>
  <si>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</si>
  <si>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</si>
  <si>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</si>
  <si>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</si>
  <si>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</si>
  <si>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</si>
  <si>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</si>
  <si>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</si>
  <si>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</si>
  <si>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</si>
  <si>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</si>
  <si>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</si>
  <si>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</si>
  <si>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</si>
  <si>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</si>
  <si>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</si>
  <si>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</si>
  <si>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</si>
  <si>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</si>
  <si>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</si>
  <si>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</si>
  <si>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</si>
  <si>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</si>
  <si>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</si>
  <si>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</si>
  <si>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</si>
  <si>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</si>
  <si>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</si>
  <si>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</si>
  <si>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</si>
  <si>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</si>
  <si>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</si>
  <si>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</si>
  <si>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</si>
  <si>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</si>
  <si>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</si>
  <si>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</si>
  <si>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</si>
  <si>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</si>
  <si>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</si>
  <si>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</si>
  <si>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</si>
  <si>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</si>
  <si>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</si>
  <si>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</si>
  <si>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</si>
  <si>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</si>
  <si>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</si>
  <si>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</si>
  <si>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</si>
  <si>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</si>
  <si>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</si>
  <si>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</si>
  <si>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</si>
  <si>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</si>
  <si>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</si>
  <si>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</si>
  <si>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</si>
  <si>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</si>
  <si>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</si>
  <si>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</si>
  <si>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</si>
  <si>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</si>
  <si>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</si>
  <si>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</si>
  <si>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</si>
  <si>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</si>
  <si>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</si>
  <si>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</si>
  <si>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</si>
  <si>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</si>
  <si>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</si>
  <si>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</si>
  <si>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</si>
  <si>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</si>
  <si>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</si>
  <si>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</si>
  <si>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</si>
  <si>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</si>
  <si>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</si>
  <si>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</si>
  <si>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</si>
  <si>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</si>
  <si>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</si>
  <si>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</si>
  <si>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</si>
  <si>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</si>
  <si>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</si>
  <si>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</si>
  <si>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</si>
  <si>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</si>
  <si>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</si>
  <si>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</si>
  <si>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</si>
  <si>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</si>
  <si>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</si>
  <si>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</si>
  <si>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</si>
  <si>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</si>
  <si>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</si>
  <si>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</si>
  <si>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</si>
  <si>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</si>
  <si>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</si>
  <si>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</si>
  <si>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</si>
  <si>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</si>
  <si>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</si>
  <si>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</si>
  <si>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</si>
  <si>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</si>
  <si>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</si>
  <si>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</si>
  <si>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</si>
  <si>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</si>
  <si>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</si>
  <si>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</si>
  <si>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</si>
  <si>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</si>
  <si>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</si>
  <si>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</si>
  <si>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</si>
  <si>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</si>
  <si>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</si>
  <si>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</si>
  <si>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</si>
  <si>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</si>
  <si>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</si>
  <si>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</si>
  <si>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</si>
  <si>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</si>
  <si>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</si>
  <si>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</si>
  <si>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</si>
  <si>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</si>
  <si>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</si>
  <si>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</si>
  <si>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</si>
  <si>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</si>
  <si>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</si>
  <si>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</si>
  <si>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</si>
  <si>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</si>
  <si>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</si>
  <si>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</si>
  <si>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</si>
  <si>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</si>
  <si>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</si>
  <si>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</si>
  <si>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</si>
  <si>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</si>
  <si>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</si>
  <si>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</si>
  <si>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</si>
  <si>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</si>
  <si>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</si>
  <si>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</si>
  <si>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</si>
  <si>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</si>
  <si>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</si>
  <si>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</si>
  <si>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</si>
  <si>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</si>
  <si>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</si>
  <si>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</si>
  <si>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</si>
  <si>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</si>
  <si>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</si>
  <si>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</si>
  <si>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</si>
  <si>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</si>
  <si>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</si>
  <si>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</si>
  <si>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</si>
  <si>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</si>
  <si>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</si>
  <si>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</si>
  <si>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</si>
  <si>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</si>
  <si>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</si>
  <si>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</si>
  <si>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</si>
  <si>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</si>
  <si>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</si>
  <si>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</si>
  <si>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</si>
  <si>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</si>
  <si>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</si>
  <si>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</si>
  <si>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</si>
  <si>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</si>
  <si>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</si>
  <si>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</si>
  <si>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</si>
  <si>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</si>
  <si>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</si>
  <si>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</si>
  <si>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</si>
  <si>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</si>
  <si>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</si>
  <si>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</si>
  <si>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</si>
  <si>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</si>
  <si>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</si>
  <si>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</si>
  <si>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</si>
  <si>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</si>
  <si>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</si>
  <si>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</si>
  <si>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</si>
  <si>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</si>
  <si>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</si>
  <si>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</si>
  <si>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</si>
  <si>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</si>
  <si>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</si>
  <si>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</si>
  <si>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</si>
  <si>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</si>
  <si>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</si>
  <si>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</si>
  <si>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</si>
  <si>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</si>
  <si>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</si>
  <si>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</si>
  <si>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</si>
  <si>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</si>
  <si>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</si>
  <si>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</si>
  <si>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</si>
  <si>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</si>
  <si>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</si>
  <si>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</si>
  <si>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</si>
  <si>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</si>
  <si>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</si>
  <si>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</si>
  <si>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</si>
  <si>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</si>
  <si>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</si>
  <si>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</si>
  <si>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</si>
  <si>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</si>
  <si>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</si>
  <si>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</si>
  <si>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</si>
  <si>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</si>
  <si>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</si>
  <si>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</si>
  <si>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</si>
  <si>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</si>
  <si>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</si>
  <si>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</si>
  <si>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</si>
  <si>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</si>
  <si>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</si>
  <si>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</si>
  <si>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</si>
  <si>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</si>
  <si>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</si>
  <si>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</si>
  <si>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</si>
  <si>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</si>
  <si>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</si>
  <si>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</si>
  <si>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</si>
  <si>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</si>
  <si>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</si>
  <si>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</si>
  <si>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</si>
  <si>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</si>
  <si>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</si>
  <si>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</si>
  <si>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</si>
  <si>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</si>
  <si>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</si>
  <si>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</si>
  <si>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</si>
  <si>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</si>
  <si>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</si>
  <si>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</si>
  <si>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</si>
  <si>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</si>
  <si>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</si>
  <si>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</si>
  <si>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</si>
  <si>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</si>
  <si>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</si>
  <si>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</si>
  <si>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</si>
  <si>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</si>
  <si>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</si>
  <si>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</si>
  <si>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</si>
  <si>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</si>
  <si>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</si>
  <si>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</si>
  <si>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</si>
  <si>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</si>
  <si>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</si>
  <si>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</si>
  <si>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</si>
  <si>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</si>
  <si>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</si>
  <si>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</si>
  <si>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</si>
  <si>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</si>
  <si>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</si>
  <si>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</si>
  <si>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</si>
  <si>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</si>
  <si>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</si>
  <si>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</si>
  <si>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</si>
  <si>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</si>
  <si>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</si>
  <si>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</si>
  <si>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</si>
  <si>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</si>
  <si>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</si>
  <si>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</si>
  <si>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</si>
  <si>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</si>
  <si>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</si>
  <si>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</si>
  <si>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</si>
  <si>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</si>
  <si>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</si>
  <si>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</si>
  <si>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</si>
  <si>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</si>
  <si>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</si>
  <si>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</si>
  <si>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</si>
  <si>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</si>
  <si>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</si>
  <si>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</si>
  <si>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</si>
  <si>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</si>
  <si>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</si>
  <si>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</si>
  <si>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</si>
  <si>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</si>
  <si>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</si>
  <si>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</si>
  <si>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</si>
  <si>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</si>
  <si>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</si>
  <si>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</si>
  <si>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</si>
  <si>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</si>
  <si>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</si>
  <si>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</si>
  <si>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</si>
  <si>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</si>
  <si>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</si>
  <si>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</si>
  <si>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</si>
  <si>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</si>
  <si>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</si>
  <si>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</si>
  <si>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</si>
  <si>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</si>
  <si>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</si>
  <si>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</si>
  <si>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</si>
  <si>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</si>
  <si>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</si>
  <si>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</si>
  <si>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</si>
  <si>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</si>
  <si>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</si>
  <si>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</si>
  <si>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</si>
  <si>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</si>
  <si>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</si>
  <si>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</si>
  <si>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</si>
  <si>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</si>
  <si>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</si>
  <si>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</si>
  <si>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</si>
  <si>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</si>
  <si>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</si>
  <si>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</si>
  <si>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</si>
  <si>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</si>
  <si>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</si>
  <si>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</si>
  <si>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</si>
  <si>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</si>
  <si>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</si>
  <si>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</si>
  <si>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</si>
  <si>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</si>
  <si>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</si>
  <si>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</si>
  <si>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</si>
  <si>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</si>
  <si>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</si>
  <si>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</si>
  <si>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</si>
  <si>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</si>
  <si>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</si>
  <si>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</si>
  <si>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</si>
  <si>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</si>
  <si>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</si>
  <si>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</si>
  <si>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</si>
  <si>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</si>
  <si>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</si>
  <si>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</si>
  <si>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</si>
  <si>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</si>
  <si>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</si>
  <si>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</si>
  <si>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</si>
  <si>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</si>
  <si>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</si>
  <si>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</si>
  <si>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</si>
  <si>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</si>
  <si>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</si>
  <si>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</si>
  <si>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</si>
  <si>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</si>
  <si>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</si>
  <si>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</si>
  <si>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</si>
  <si>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</si>
  <si>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</si>
  <si>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</si>
  <si>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</si>
  <si>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</si>
  <si>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</si>
  <si>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</si>
  <si>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</si>
  <si>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</si>
  <si>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</si>
  <si>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</si>
  <si>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</si>
  <si>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</si>
  <si>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</si>
  <si>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</si>
  <si>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</si>
  <si>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</si>
  <si>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</si>
  <si>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</si>
  <si>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</si>
  <si>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</si>
  <si>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</si>
  <si>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</si>
  <si>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</si>
  <si>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</si>
  <si>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</si>
  <si>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</si>
  <si>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</si>
  <si>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</si>
  <si>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</si>
  <si>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</si>
  <si>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</si>
  <si>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</si>
  <si>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</si>
  <si>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</si>
  <si>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</si>
  <si>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</si>
  <si>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</si>
  <si>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</si>
  <si>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</si>
  <si>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</si>
  <si>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</si>
  <si>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</si>
  <si>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</si>
  <si>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</si>
  <si>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</si>
  <si>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</si>
  <si>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</si>
  <si>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</si>
  <si>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</si>
  <si>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</si>
  <si>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</si>
  <si>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</si>
  <si>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</si>
  <si>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</si>
  <si>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</si>
  <si>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</si>
  <si>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</si>
  <si>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</si>
  <si>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</si>
  <si>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</si>
  <si>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</si>
  <si>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</si>
  <si>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</si>
  <si>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</si>
  <si>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</si>
  <si>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</si>
  <si>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</si>
  <si>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</si>
  <si>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</si>
  <si>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</si>
  <si>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</si>
  <si>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</si>
  <si>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</si>
  <si>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</si>
  <si>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</si>
  <si>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</si>
  <si>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</si>
  <si>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</si>
  <si>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</si>
  <si>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</si>
  <si>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</si>
  <si>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</si>
  <si>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</si>
  <si>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</si>
  <si>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</si>
  <si>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</si>
  <si>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</si>
  <si>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</si>
  <si>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</si>
  <si>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</si>
  <si>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</si>
  <si>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</si>
  <si>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</si>
  <si>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</si>
  <si>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</si>
  <si>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</si>
  <si>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</si>
  <si>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</si>
  <si>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</si>
  <si>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</si>
  <si>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</si>
  <si>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</si>
  <si>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</si>
  <si>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</si>
  <si>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</si>
  <si>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</si>
  <si>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</si>
  <si>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</si>
  <si>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</si>
  <si>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</si>
  <si>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</si>
  <si>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</si>
  <si>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</si>
  <si>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</si>
  <si>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</si>
  <si>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</si>
  <si>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</si>
  <si>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</si>
  <si>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</si>
  <si>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</si>
  <si>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</si>
  <si>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</si>
  <si>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</si>
  <si>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</si>
  <si>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</si>
  <si>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</si>
  <si>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</si>
  <si>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</si>
  <si>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</si>
  <si>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</si>
  <si>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</si>
  <si>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</si>
  <si>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</si>
  <si>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</si>
  <si>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</si>
  <si>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</si>
  <si>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</si>
  <si>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</si>
  <si>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</si>
  <si>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</si>
  <si>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</si>
  <si>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</si>
  <si>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</si>
  <si>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</si>
  <si>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</si>
  <si>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</si>
  <si>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</si>
  <si>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</si>
  <si>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</si>
  <si>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</si>
  <si>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</si>
  <si>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</si>
  <si>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</si>
  <si>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</si>
  <si>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</si>
  <si>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</si>
  <si>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</si>
  <si>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</si>
  <si>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</si>
  <si>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</si>
  <si>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</si>
  <si>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</si>
  <si>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</si>
  <si>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</si>
  <si>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</si>
  <si>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</si>
  <si>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</si>
  <si>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</si>
  <si>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</si>
  <si>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</si>
  <si>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</si>
  <si>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</si>
  <si>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</si>
  <si>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</si>
  <si>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</si>
  <si>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</si>
  <si>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</si>
  <si>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</si>
  <si>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</si>
  <si>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</si>
  <si>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</si>
  <si>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</si>
  <si>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</si>
  <si>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</si>
  <si>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</si>
  <si>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</si>
  <si>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</si>
  <si>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</si>
  <si>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</si>
  <si>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</si>
  <si>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</si>
  <si>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</si>
  <si>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</si>
  <si>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</si>
  <si>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</si>
  <si>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</si>
  <si>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</si>
  <si>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</si>
  <si>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</si>
  <si>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</si>
  <si>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</si>
  <si>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</si>
  <si>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</si>
  <si>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</si>
  <si>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</si>
  <si>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</si>
  <si>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</si>
  <si>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</si>
  <si>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</si>
  <si>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</si>
  <si>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</si>
  <si>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</si>
  <si>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</si>
  <si>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</si>
  <si>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</si>
  <si>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</si>
  <si>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</si>
  <si>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</si>
  <si>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</si>
  <si>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</si>
  <si>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</si>
  <si>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</si>
  <si>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</si>
  <si>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</si>
  <si>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</si>
  <si>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</si>
  <si>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</si>
  <si>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</si>
  <si>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</si>
  <si>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</si>
  <si>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</si>
  <si>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</si>
  <si>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</si>
  <si>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</si>
  <si>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</si>
  <si>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</si>
  <si>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</si>
  <si>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</si>
  <si>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</si>
  <si>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</si>
  <si>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</si>
  <si>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</si>
  <si>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</si>
  <si>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</si>
  <si>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</si>
  <si>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</si>
  <si>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</si>
  <si>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</si>
  <si>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</si>
  <si>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</si>
  <si>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</si>
  <si>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</si>
  <si>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</si>
  <si>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</si>
  <si>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</si>
  <si>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</si>
  <si>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</si>
  <si>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</si>
  <si>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</si>
  <si>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</si>
  <si>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</si>
  <si>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</si>
  <si>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</si>
  <si>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</si>
  <si>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</si>
  <si>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</si>
  <si>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</si>
  <si>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</si>
  <si>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</si>
  <si>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</si>
  <si>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</si>
  <si>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</si>
  <si>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</si>
  <si>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</si>
  <si>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</si>
  <si>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</si>
  <si>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</si>
  <si>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</si>
  <si>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</si>
  <si>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</si>
  <si>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</si>
  <si>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</si>
  <si>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</si>
  <si>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</si>
  <si>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</si>
  <si>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</si>
  <si>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</si>
  <si>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</si>
  <si>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</si>
  <si>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</si>
  <si>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</si>
  <si>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</si>
  <si>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</si>
  <si>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</si>
  <si>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</si>
  <si>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</si>
  <si>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</si>
  <si>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</si>
  <si>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</si>
  <si>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</si>
  <si>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</si>
  <si>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</si>
  <si>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</si>
  <si>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</si>
  <si>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</si>
  <si>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</si>
  <si>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</si>
  <si>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</si>
  <si>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</si>
  <si>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</si>
  <si>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</si>
  <si>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</si>
  <si>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</si>
  <si>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</si>
  <si>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</si>
  <si>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</si>
  <si>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</si>
  <si>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</si>
  <si>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</si>
  <si>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</si>
  <si>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</si>
  <si>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</si>
  <si>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</si>
  <si>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</si>
  <si>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</si>
  <si>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</si>
  <si>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</si>
  <si>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</si>
  <si>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</si>
  <si>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</si>
  <si>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</si>
  <si>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</si>
  <si>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</si>
  <si>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</si>
  <si>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</si>
  <si>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</si>
  <si>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</si>
  <si>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</si>
  <si>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</si>
  <si>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</si>
  <si>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</si>
  <si>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</si>
  <si>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</si>
  <si>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</si>
  <si>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</si>
  <si>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</si>
  <si>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</si>
  <si>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</si>
  <si>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</si>
  <si>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</si>
  <si>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</si>
  <si>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</si>
  <si>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</si>
  <si>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</si>
  <si>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</si>
  <si>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</si>
  <si>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</si>
  <si>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</si>
  <si>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</si>
  <si>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</si>
  <si>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</si>
  <si>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</si>
  <si>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</si>
  <si>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</si>
  <si>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</si>
  <si>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</si>
  <si>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</si>
  <si>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</si>
  <si>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</si>
  <si>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</si>
  <si>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</si>
  <si>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</si>
  <si>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</si>
  <si>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</si>
  <si>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</si>
  <si>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</si>
  <si>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</si>
  <si>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</si>
  <si>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</si>
  <si>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</si>
  <si>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</si>
  <si>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</si>
  <si>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</si>
  <si>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</si>
  <si>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</si>
  <si>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</si>
  <si>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</si>
  <si>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</si>
  <si>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</si>
  <si>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</si>
  <si>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</si>
  <si>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</si>
  <si>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</si>
  <si>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</si>
  <si>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</si>
  <si>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</si>
  <si>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</si>
  <si>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</si>
  <si>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</si>
  <si>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</si>
  <si>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</si>
  <si>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</si>
  <si>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</si>
  <si>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</si>
  <si>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</si>
  <si>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</si>
  <si>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</si>
  <si>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</si>
  <si>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</si>
  <si>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</si>
  <si>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</si>
  <si>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</si>
  <si>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</si>
  <si>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</si>
  <si>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</si>
  <si>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</si>
  <si>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</si>
  <si>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</si>
  <si>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</si>
  <si>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</si>
  <si>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</si>
  <si>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</si>
  <si>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</si>
  <si>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</si>
  <si>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</si>
  <si>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</si>
  <si>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</si>
  <si>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</si>
  <si>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</si>
  <si>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</si>
  <si>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</si>
  <si>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</si>
  <si>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</si>
  <si>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</si>
  <si>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</si>
  <si>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</si>
  <si>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</si>
  <si>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</si>
  <si>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</si>
  <si>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</si>
  <si>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</si>
  <si>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</si>
  <si>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</si>
  <si>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</si>
  <si>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</si>
  <si>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</si>
  <si>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</si>
  <si>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</si>
  <si>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</si>
  <si>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</si>
  <si>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</si>
  <si>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</si>
  <si>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</si>
  <si>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</si>
  <si>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</si>
  <si>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</si>
  <si>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</si>
  <si>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</si>
  <si>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</si>
  <si>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</si>
  <si>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</si>
  <si>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</si>
  <si>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</si>
  <si>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</si>
  <si>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</si>
  <si>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</si>
  <si>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</si>
  <si>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</si>
  <si>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</si>
  <si>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</si>
  <si>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</si>
  <si>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</si>
  <si>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</si>
  <si>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</si>
  <si>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</si>
  <si>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</si>
  <si>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</si>
  <si>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</si>
  <si>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</si>
  <si>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</si>
  <si>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</si>
  <si>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</si>
  <si>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</si>
  <si>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</si>
  <si>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</si>
  <si>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</si>
  <si>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</si>
  <si>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</si>
  <si>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</si>
  <si>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</si>
  <si>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</si>
  <si>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</si>
  <si>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</si>
  <si>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</si>
  <si>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</si>
  <si>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</si>
  <si>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</si>
  <si>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</si>
  <si>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</si>
  <si>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</si>
  <si>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</si>
  <si>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</si>
  <si>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</si>
  <si>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</si>
  <si>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</si>
  <si>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</si>
  <si>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</si>
  <si>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</si>
  <si>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</si>
  <si>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</si>
  <si>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</si>
  <si>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</si>
  <si>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</si>
  <si>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</si>
  <si>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</si>
  <si>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</si>
  <si>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</si>
  <si>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</si>
  <si>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</si>
  <si>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</si>
  <si>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</si>
  <si>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</si>
  <si>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</si>
  <si>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</si>
  <si>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</si>
  <si>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</si>
  <si>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</si>
  <si>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</si>
  <si>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</si>
  <si>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</si>
  <si>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</si>
  <si>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</si>
  <si>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</si>
  <si>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</si>
  <si>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</si>
  <si>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</si>
  <si>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</si>
  <si>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</si>
  <si>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</si>
  <si>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</si>
  <si>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</si>
  <si>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</si>
  <si>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</si>
  <si>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</si>
  <si>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</si>
  <si>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</si>
  <si>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</si>
  <si>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</si>
  <si>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</si>
  <si>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</si>
  <si>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</si>
  <si>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</si>
  <si>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</si>
  <si>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</si>
  <si>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</si>
  <si>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</si>
  <si>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</si>
  <si>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</si>
  <si>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</si>
  <si>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</si>
  <si>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</si>
  <si>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</si>
  <si>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</si>
  <si>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</si>
  <si>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</si>
  <si>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</si>
  <si>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</si>
  <si>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</si>
  <si>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</si>
  <si>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</si>
  <si>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</si>
  <si>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</si>
  <si>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</si>
  <si>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</si>
  <si>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</si>
  <si>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</si>
  <si>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</si>
  <si>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</si>
  <si>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</si>
  <si>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</si>
  <si>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</si>
  <si>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</si>
  <si>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</si>
  <si>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</si>
  <si>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</si>
  <si>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</si>
  <si>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</si>
  <si>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</si>
  <si>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</si>
  <si>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</si>
  <si>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</si>
  <si>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</si>
  <si>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</si>
  <si>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</si>
  <si>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</si>
  <si>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</si>
  <si>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</si>
  <si>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</si>
  <si>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</si>
  <si>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</si>
  <si>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</si>
  <si>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</si>
  <si>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</si>
  <si>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</si>
  <si>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</si>
  <si>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</si>
  <si>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</si>
  <si>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</si>
  <si>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</si>
  <si>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</si>
  <si>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</si>
  <si>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</si>
  <si>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</si>
  <si>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</si>
  <si>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</si>
  <si>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</si>
  <si>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</si>
  <si>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</si>
  <si>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</si>
  <si>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</si>
  <si>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</si>
  <si>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</si>
  <si>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</si>
  <si>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</si>
  <si>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</si>
  <si>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</si>
  <si>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</si>
  <si>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</si>
  <si>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</si>
  <si>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</si>
  <si>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</si>
  <si>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</si>
  <si>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</si>
  <si>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</si>
  <si>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</si>
  <si>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</si>
  <si>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</si>
  <si>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</si>
  <si>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</si>
  <si>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</si>
  <si>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</si>
  <si>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</si>
  <si>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</si>
  <si>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</si>
  <si>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</si>
  <si>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</si>
  <si>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</si>
  <si>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</si>
  <si>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</si>
  <si>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</si>
  <si>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</si>
  <si>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</si>
  <si>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</si>
  <si>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</si>
  <si>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</si>
  <si>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</si>
  <si>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</si>
  <si>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</si>
  <si>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</si>
  <si>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</si>
  <si>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</si>
  <si>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</si>
  <si>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</si>
  <si>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</si>
  <si>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</si>
  <si>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</si>
  <si>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</si>
  <si>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</si>
  <si>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</si>
  <si>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</si>
  <si>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</si>
  <si>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</si>
  <si>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</si>
  <si>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</si>
  <si>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</si>
  <si>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</si>
  <si>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</si>
  <si>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</si>
  <si>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</si>
  <si>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</si>
  <si>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</si>
  <si>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</si>
  <si>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</si>
  <si>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</si>
  <si>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</si>
  <si>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</si>
  <si>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</si>
  <si>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</si>
  <si>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</si>
  <si>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</si>
  <si>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</si>
  <si>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</si>
  <si>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</si>
  <si>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</si>
  <si>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</si>
  <si>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</si>
  <si>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</si>
  <si>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</si>
  <si>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</si>
  <si>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</si>
  <si>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</si>
  <si>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</si>
  <si>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</si>
  <si>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</si>
  <si>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</si>
  <si>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</si>
  <si>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</si>
  <si>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</si>
  <si>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</si>
  <si>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</si>
  <si>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</si>
  <si>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</si>
  <si>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</si>
  <si>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</si>
  <si>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</si>
  <si>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</si>
  <si>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</si>
  <si>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</si>
  <si>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</si>
  <si>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</si>
  <si>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</si>
  <si>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</si>
  <si>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</si>
  <si>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</si>
  <si>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</si>
  <si>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</si>
  <si>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</si>
  <si>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</si>
  <si>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</si>
  <si>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</si>
  <si>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</si>
  <si>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</si>
  <si>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</si>
  <si>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</si>
  <si>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</si>
  <si>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</si>
  <si>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</si>
  <si>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</si>
  <si>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</si>
  <si>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</si>
  <si>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</si>
  <si>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</si>
  <si>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</si>
  <si>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</si>
  <si>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</si>
  <si>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</si>
  <si>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</si>
  <si>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</si>
  <si>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</si>
  <si>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</si>
  <si>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</si>
  <si>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</si>
  <si>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</si>
  <si>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</si>
  <si>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</si>
  <si>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</si>
  <si>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</si>
  <si>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</si>
  <si>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</si>
  <si>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</si>
  <si>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</si>
  <si>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</si>
  <si>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</si>
  <si>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</si>
  <si>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</si>
  <si>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</si>
  <si>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</si>
  <si>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</si>
  <si>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</si>
  <si>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</si>
  <si>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</si>
  <si>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</si>
  <si>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</si>
  <si>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</si>
  <si>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</si>
  <si>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</si>
  <si>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</si>
  <si>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</si>
  <si>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</si>
  <si>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</si>
  <si>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</si>
  <si>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</si>
  <si>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</si>
  <si>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</si>
  <si>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</si>
  <si>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</si>
  <si>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</si>
  <si>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</si>
  <si>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</si>
  <si>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</si>
  <si>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</si>
  <si>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</si>
  <si>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</si>
  <si>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</si>
  <si>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</si>
  <si>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</si>
  <si>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</si>
  <si>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</si>
  <si>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</si>
  <si>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</si>
  <si>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</si>
  <si>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</si>
  <si>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</si>
  <si>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</si>
  <si>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</si>
  <si>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</si>
  <si>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</si>
  <si>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</si>
  <si>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</si>
  <si>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</si>
  <si>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</si>
  <si>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</si>
  <si>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</si>
  <si>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</si>
  <si>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</si>
  <si>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</si>
  <si>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</si>
  <si>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</si>
  <si>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</si>
  <si>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</si>
  <si>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</si>
  <si>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</si>
  <si>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</si>
  <si>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</si>
  <si>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</si>
  <si>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</si>
  <si>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</si>
  <si>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</si>
  <si>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</si>
  <si>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</si>
  <si>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</si>
  <si>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</si>
  <si>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</si>
  <si>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</si>
  <si>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</si>
  <si>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</si>
  <si>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</si>
  <si>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</si>
  <si>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</si>
  <si>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</si>
  <si>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</si>
  <si>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</si>
  <si>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</si>
  <si>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</si>
  <si>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</si>
  <si>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</si>
  <si>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</si>
  <si>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</si>
  <si>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</si>
  <si>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</si>
  <si>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</si>
  <si>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</si>
  <si>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</si>
  <si>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</si>
  <si>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</si>
  <si>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</si>
  <si>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</si>
  <si>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</si>
  <si>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</si>
  <si>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</si>
  <si>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</si>
  <si>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</si>
  <si>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</si>
  <si>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</si>
  <si>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</si>
  <si>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</si>
  <si>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</si>
  <si>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</si>
  <si>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</si>
  <si>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</si>
  <si>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</si>
  <si>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</si>
  <si>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</si>
  <si>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</si>
  <si>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</si>
  <si>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</si>
  <si>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</si>
  <si>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</si>
  <si>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</si>
  <si>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</si>
  <si>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</si>
  <si>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</si>
  <si>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</si>
  <si>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</si>
  <si>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</si>
  <si>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</si>
  <si>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</si>
  <si>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</si>
  <si>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</si>
  <si>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</si>
  <si>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</si>
  <si>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</si>
  <si>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</si>
  <si>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</si>
  <si>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</si>
  <si>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</si>
  <si>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</si>
  <si>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</si>
  <si>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</si>
  <si>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</si>
  <si>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</si>
  <si>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</si>
  <si>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</si>
  <si>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</si>
  <si>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</si>
  <si>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</si>
  <si>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</si>
  <si>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</si>
  <si>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</si>
  <si>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</si>
  <si>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</si>
  <si>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</si>
  <si>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</si>
  <si>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</si>
  <si>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</si>
  <si>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</si>
  <si>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</si>
  <si>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</si>
  <si>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</si>
  <si>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</si>
  <si>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</si>
  <si>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</si>
  <si>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</si>
  <si>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</si>
  <si>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</si>
  <si>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</si>
  <si>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</si>
  <si>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</si>
  <si>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</si>
  <si>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</si>
  <si>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</si>
  <si>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</si>
  <si>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</si>
  <si>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</si>
  <si>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</si>
  <si>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</si>
  <si>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</si>
  <si>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</si>
  <si>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</si>
  <si>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</si>
  <si>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</si>
  <si>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</si>
  <si>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</si>
  <si>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</si>
  <si>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</si>
  <si>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</si>
  <si>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</si>
  <si>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</si>
  <si>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</si>
  <si>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</si>
  <si>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</si>
  <si>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</si>
  <si>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</si>
  <si>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</si>
  <si>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</si>
  <si>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</si>
  <si>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</si>
  <si>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</si>
  <si>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</si>
  <si>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</si>
  <si>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</si>
  <si>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</si>
  <si>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</si>
  <si>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</si>
  <si>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</si>
  <si>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</si>
  <si>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</si>
  <si>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</si>
  <si>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</si>
  <si>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</si>
  <si>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</si>
  <si>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</si>
  <si>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</si>
  <si>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</si>
  <si>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</si>
  <si>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</si>
  <si>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</si>
  <si>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</si>
  <si>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</si>
  <si>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</si>
  <si>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</si>
  <si>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</si>
  <si>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</si>
  <si>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</si>
  <si>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</si>
  <si>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</si>
  <si>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</si>
  <si>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</si>
  <si>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</si>
  <si>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</si>
  <si>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</si>
  <si>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</si>
  <si>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</si>
  <si>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</si>
  <si>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</si>
  <si>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</si>
  <si>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</si>
  <si>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</si>
  <si>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</si>
  <si>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</si>
  <si>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</si>
  <si>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</si>
  <si>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</si>
  <si>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</si>
  <si>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</si>
  <si>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</si>
  <si>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</si>
  <si>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</si>
  <si>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</si>
  <si>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</si>
  <si>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</si>
  <si>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</si>
  <si>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</si>
  <si>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</si>
  <si>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</si>
  <si>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</si>
  <si>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</si>
  <si>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</si>
  <si>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</si>
  <si>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</si>
  <si>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</si>
  <si>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</si>
  <si>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</si>
  <si>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</si>
  <si>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</si>
  <si>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</si>
  <si>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</si>
  <si>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</si>
  <si>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</si>
  <si>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</si>
  <si>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</si>
  <si>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</si>
  <si>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</si>
  <si>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</si>
  <si>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</si>
  <si>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</si>
  <si>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</si>
  <si>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</si>
  <si>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</si>
  <si>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</si>
  <si>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</si>
  <si>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</si>
  <si>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</si>
  <si>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</si>
  <si>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</si>
  <si>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</si>
  <si>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</si>
  <si>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</si>
  <si>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</si>
  <si>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</si>
  <si>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</si>
  <si>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</si>
  <si>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</si>
  <si>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</si>
  <si>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</si>
  <si>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</si>
  <si>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</si>
  <si>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</si>
  <si>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</si>
  <si>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</si>
  <si>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</si>
  <si>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</si>
  <si>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</si>
  <si>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</si>
  <si>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</si>
  <si>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</si>
  <si>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</si>
  <si>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</si>
  <si>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</si>
  <si>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</si>
  <si>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</si>
  <si>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</si>
  <si>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</si>
  <si>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</si>
  <si>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</si>
  <si>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</si>
  <si>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</si>
  <si>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</si>
  <si>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</si>
  <si>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</si>
  <si>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</si>
  <si>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</si>
  <si>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</si>
  <si>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</si>
  <si>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</si>
  <si>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</si>
  <si>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</si>
  <si>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</si>
  <si>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</si>
  <si>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</si>
  <si>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</si>
  <si>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</si>
  <si>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</si>
  <si>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</si>
  <si>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</si>
  <si>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</si>
  <si>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</si>
  <si>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</si>
  <si>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</si>
  <si>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</si>
  <si>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</si>
  <si>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</si>
  <si>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</si>
  <si>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</si>
  <si>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</si>
  <si>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</si>
  <si>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</si>
  <si>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</si>
  <si>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</si>
  <si>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</si>
  <si>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</si>
  <si>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</si>
  <si>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</si>
  <si>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</si>
  <si>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</si>
  <si>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</si>
  <si>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</si>
  <si>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</si>
  <si>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</si>
  <si>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</si>
  <si>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</si>
  <si>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</si>
  <si>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</si>
  <si>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</si>
  <si>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</si>
  <si>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</si>
  <si>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</si>
  <si>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</si>
  <si>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</si>
  <si>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</si>
  <si>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</si>
  <si>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</si>
  <si>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</si>
  <si>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</si>
  <si>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</si>
  <si>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</si>
  <si>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</si>
  <si>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</si>
  <si>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</si>
  <si>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</si>
  <si>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</si>
  <si>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</si>
  <si>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</si>
  <si>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</si>
  <si>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</si>
  <si>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</si>
  <si>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</si>
  <si>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</si>
  <si>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</si>
  <si>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</si>
  <si>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</si>
  <si>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</si>
  <si>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</si>
  <si>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</si>
  <si>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</si>
  <si>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</si>
  <si>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</si>
  <si>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</si>
  <si>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</si>
  <si>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</si>
  <si>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</si>
  <si>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</si>
  <si>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</si>
  <si>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</si>
  <si>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</si>
  <si>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</si>
  <si>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</si>
  <si>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</si>
  <si>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</si>
  <si>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</si>
  <si>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</si>
  <si>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</si>
  <si>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</si>
  <si>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</si>
  <si>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</si>
  <si>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</si>
  <si>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</si>
  <si>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</si>
  <si>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</si>
  <si>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</si>
  <si>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</si>
  <si>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</si>
  <si>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</si>
  <si>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</si>
  <si>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</si>
  <si>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</si>
  <si>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</si>
  <si>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</si>
  <si>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</si>
  <si>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</si>
  <si>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</si>
  <si>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</si>
  <si>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</si>
  <si>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</si>
  <si>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</si>
  <si>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</si>
  <si>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</si>
  <si>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</si>
  <si>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</si>
  <si>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</si>
  <si>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</si>
  <si>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</si>
  <si>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</si>
  <si>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</si>
  <si>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</si>
  <si>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</si>
  <si>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</si>
  <si>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</si>
  <si>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</si>
  <si>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</si>
  <si>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</si>
  <si>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</si>
  <si>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</si>
  <si>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</si>
  <si>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</si>
  <si>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</si>
  <si>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</si>
  <si>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</si>
  <si>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</si>
  <si>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</si>
  <si>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</si>
  <si>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</si>
  <si>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</si>
  <si>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</si>
  <si>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</si>
  <si>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</si>
  <si>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</si>
  <si>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</si>
  <si>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</si>
  <si>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</si>
  <si>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</si>
  <si>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</si>
  <si>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</si>
  <si>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</si>
  <si>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</si>
  <si>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</si>
  <si>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</si>
  <si>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</si>
  <si>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</si>
  <si>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</si>
  <si>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</si>
  <si>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</si>
  <si>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</si>
  <si>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</si>
  <si>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</si>
  <si>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</si>
  <si>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</si>
  <si>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</si>
  <si>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</si>
  <si>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</si>
  <si>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</si>
  <si>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</si>
  <si>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</si>
  <si>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</si>
  <si>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</si>
  <si>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</si>
  <si>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</si>
  <si>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</si>
  <si>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</si>
  <si>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</si>
  <si>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</si>
  <si>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</si>
  <si>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</si>
  <si>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</si>
  <si>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</si>
  <si>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</si>
  <si>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</si>
  <si>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</si>
  <si>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</si>
  <si>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</si>
  <si>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</si>
  <si>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</si>
  <si>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</si>
  <si>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</si>
  <si>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</si>
  <si>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</si>
  <si>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</si>
  <si>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</si>
  <si>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</si>
  <si>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</si>
  <si>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</si>
  <si>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</si>
  <si>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</si>
  <si>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</si>
  <si>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</si>
  <si>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</si>
  <si>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</si>
  <si>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</si>
  <si>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</si>
  <si>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</si>
  <si>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</si>
  <si>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</si>
  <si>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</si>
  <si>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</si>
  <si>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</si>
  <si>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</si>
  <si>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</si>
  <si>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</si>
  <si>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</si>
  <si>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</si>
  <si>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</si>
  <si>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</si>
  <si>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</si>
  <si>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</si>
  <si>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</si>
  <si>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</si>
  <si>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</si>
  <si>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</si>
  <si>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</si>
  <si>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</si>
  <si>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</si>
  <si>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</si>
  <si>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</si>
  <si>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</si>
  <si>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</si>
  <si>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</si>
  <si>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</si>
  <si>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</si>
  <si>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</si>
  <si>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</si>
  <si>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</si>
  <si>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</si>
  <si>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</si>
  <si>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</si>
  <si>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</si>
  <si>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</si>
  <si>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</si>
  <si>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</si>
  <si>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</si>
  <si>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</si>
  <si>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</si>
  <si>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</si>
  <si>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</si>
  <si>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</si>
  <si>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</si>
  <si>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</si>
  <si>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</si>
  <si>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</si>
  <si>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</si>
  <si>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</si>
  <si>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</si>
  <si>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</si>
  <si>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</si>
  <si>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</si>
  <si>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</si>
  <si>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</si>
  <si>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</si>
  <si>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</si>
  <si>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</si>
  <si>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</si>
  <si>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</si>
  <si>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</si>
  <si>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</si>
  <si>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</si>
  <si>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</si>
  <si>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</si>
  <si>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</si>
  <si>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</si>
  <si>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</si>
  <si>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</si>
  <si>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</si>
  <si>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</si>
  <si>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</si>
  <si>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</si>
  <si>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</si>
  <si>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</si>
  <si>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</si>
  <si>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</si>
  <si>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</si>
  <si>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</si>
  <si>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</si>
  <si>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</si>
  <si>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</si>
  <si>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</si>
  <si>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</si>
  <si>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</si>
  <si>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</si>
  <si>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</si>
  <si>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</si>
  <si>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</si>
  <si>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</si>
  <si>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</si>
  <si>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</si>
  <si>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</si>
  <si>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</si>
  <si>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</si>
  <si>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</si>
  <si>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</si>
  <si>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</si>
  <si>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</si>
  <si>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</si>
  <si>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</si>
  <si>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</si>
  <si>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</si>
  <si>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</si>
  <si>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</si>
  <si>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</si>
  <si>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</si>
  <si>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</si>
  <si>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</si>
  <si>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</si>
  <si>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</si>
  <si>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</si>
  <si>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</si>
  <si>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</si>
  <si>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</si>
  <si>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</si>
  <si>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</si>
  <si>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</si>
  <si>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</si>
  <si>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</si>
  <si>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</si>
  <si>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</si>
  <si>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</si>
  <si>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</si>
  <si>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</si>
  <si>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</si>
  <si>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</si>
  <si>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</si>
  <si>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</si>
  <si>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</si>
  <si>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</si>
  <si>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</si>
  <si>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</si>
  <si>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</si>
  <si>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</si>
  <si>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</si>
  <si>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</si>
  <si>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</si>
  <si>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</si>
  <si>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</si>
  <si>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</si>
  <si>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</si>
  <si>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</si>
  <si>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</si>
  <si>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</si>
  <si>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</si>
  <si>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</si>
  <si>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</si>
  <si>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</si>
  <si>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</si>
  <si>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</si>
  <si>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</si>
  <si>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</si>
  <si>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</si>
  <si>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</si>
  <si>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</si>
  <si>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</si>
  <si>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</si>
  <si>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</si>
  <si>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</si>
  <si>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</si>
  <si>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</si>
  <si>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</si>
  <si>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</si>
  <si>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</si>
  <si>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</si>
  <si>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</si>
  <si>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</si>
  <si>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</si>
  <si>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</si>
  <si>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</si>
  <si>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</si>
  <si>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</si>
  <si>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</si>
  <si>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</si>
  <si>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</si>
  <si>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</si>
  <si>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</si>
  <si>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</si>
  <si>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</si>
  <si>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</si>
  <si>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</si>
  <si>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</si>
  <si>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</si>
  <si>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</si>
  <si>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</si>
  <si>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</si>
  <si>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</si>
  <si>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</si>
  <si>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</si>
  <si>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</si>
  <si>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</si>
  <si>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</si>
  <si>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</si>
  <si>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</si>
  <si>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</si>
  <si>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</si>
  <si>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</si>
  <si>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</si>
  <si>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</si>
  <si>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</si>
  <si>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</si>
  <si>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</si>
  <si>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</si>
  <si>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</si>
  <si>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</si>
  <si>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</si>
  <si>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</si>
  <si>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</si>
  <si>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</si>
  <si>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</si>
  <si>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</si>
  <si>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</si>
  <si>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</si>
  <si>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</si>
  <si>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</si>
  <si>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</si>
  <si>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</si>
  <si>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</si>
  <si>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</si>
  <si>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</si>
  <si>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</si>
  <si>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</si>
  <si>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</si>
  <si>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</si>
  <si>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</si>
  <si>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</si>
  <si>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</si>
  <si>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</si>
  <si>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</si>
  <si>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</si>
  <si>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</si>
  <si>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</si>
  <si>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</si>
  <si>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</si>
  <si>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</si>
  <si>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</si>
  <si>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</si>
  <si>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</si>
  <si>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</si>
  <si>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</si>
  <si>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</si>
  <si>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</si>
  <si>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</si>
  <si>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</si>
  <si>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</si>
  <si>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</si>
  <si>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</si>
  <si>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</si>
  <si>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</si>
  <si>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</si>
  <si>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</si>
  <si>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</si>
  <si>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</si>
  <si>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</si>
  <si>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</si>
  <si>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</si>
  <si>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</si>
  <si>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</si>
  <si>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</si>
  <si>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</si>
  <si>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</si>
  <si>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</si>
  <si>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</si>
  <si>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</si>
  <si>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</si>
  <si>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</si>
  <si>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</si>
  <si>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</si>
  <si>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</si>
  <si>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</si>
  <si>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</si>
  <si>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</si>
  <si>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</si>
  <si>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</si>
  <si>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</si>
  <si>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</si>
  <si>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</si>
  <si>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</si>
  <si>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</si>
  <si>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</si>
  <si>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</si>
  <si>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</si>
  <si>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</si>
  <si>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</si>
  <si>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</si>
  <si>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</si>
  <si>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</si>
  <si>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</si>
  <si>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</si>
  <si>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</si>
  <si>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</si>
  <si>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</si>
  <si>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</si>
  <si>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</si>
  <si>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</si>
  <si>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</si>
  <si>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</si>
  <si>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</si>
  <si>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</si>
  <si>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</si>
  <si>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</si>
  <si>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</si>
  <si>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</si>
  <si>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</si>
  <si>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</si>
  <si>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</si>
  <si>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</si>
  <si>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</si>
  <si>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</si>
  <si>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</si>
  <si>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</si>
  <si>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</si>
  <si>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</si>
  <si>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</si>
  <si>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</si>
  <si>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</si>
  <si>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</si>
  <si>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</si>
  <si>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</si>
  <si>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</si>
  <si>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</si>
  <si>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</si>
  <si>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</si>
  <si>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</si>
  <si>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</si>
  <si>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</si>
  <si>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</si>
  <si>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</si>
  <si>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</si>
  <si>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</si>
  <si>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</si>
  <si>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</si>
  <si>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</si>
  <si>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</si>
  <si>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</si>
  <si>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</si>
  <si>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</si>
  <si>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</si>
  <si>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</si>
  <si>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</si>
  <si>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</si>
  <si>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</si>
  <si>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</si>
  <si>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</si>
  <si>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</si>
  <si>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</si>
  <si>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</si>
  <si>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</si>
  <si>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</si>
  <si>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</si>
  <si>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</si>
  <si>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</si>
  <si>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</si>
  <si>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</si>
  <si>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</si>
  <si>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</si>
  <si>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</si>
  <si>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</si>
  <si>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</si>
  <si>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</si>
  <si>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</si>
  <si>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</si>
  <si>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</si>
  <si>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</si>
  <si>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</si>
  <si>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</si>
  <si>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</si>
  <si>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</si>
  <si>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</si>
  <si>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</si>
  <si>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</si>
  <si>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</si>
  <si>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</si>
  <si>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</si>
  <si>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</si>
  <si>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</si>
  <si>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</si>
  <si>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</si>
  <si>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</si>
  <si>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</si>
  <si>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</si>
  <si>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</si>
  <si>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</si>
  <si>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</si>
  <si>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</si>
  <si>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</si>
  <si>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</si>
  <si>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</si>
  <si>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</si>
  <si>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</si>
  <si>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</si>
  <si>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</si>
  <si>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</si>
  <si>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</si>
  <si>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</si>
  <si>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</si>
  <si>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</si>
  <si>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</si>
  <si>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</si>
  <si>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</si>
  <si>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</si>
  <si>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</si>
  <si>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</si>
  <si>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</si>
  <si>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</si>
  <si>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</si>
  <si>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</si>
  <si>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</si>
  <si>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</si>
  <si>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</si>
  <si>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</si>
  <si>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</si>
  <si>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</si>
  <si>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</si>
  <si>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</si>
  <si>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</si>
  <si>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</si>
  <si>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</si>
  <si>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</si>
  <si>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</si>
  <si>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</si>
  <si>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</si>
  <si>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</si>
  <si>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</si>
  <si>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</si>
  <si>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</si>
  <si>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</si>
  <si>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</si>
  <si>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</si>
  <si>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</si>
  <si>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</si>
  <si>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</si>
  <si>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</si>
  <si>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</si>
  <si>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</si>
  <si>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</si>
  <si>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</si>
  <si>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</si>
  <si>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</si>
  <si>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</si>
  <si>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</si>
  <si>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</si>
  <si>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</si>
  <si>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</si>
  <si>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</si>
  <si>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</si>
  <si>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</si>
  <si>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</si>
  <si>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</si>
  <si>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</si>
  <si>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</si>
  <si>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</si>
  <si>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</si>
  <si>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</si>
  <si>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</si>
  <si>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</si>
  <si>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</si>
  <si>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</si>
  <si>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</si>
  <si>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</si>
  <si>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</si>
  <si>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</si>
  <si>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</si>
  <si>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</si>
  <si>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</si>
  <si>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</si>
  <si>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</si>
  <si>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</si>
  <si>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</si>
  <si>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</si>
  <si>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</si>
  <si>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</si>
  <si>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</si>
  <si>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</si>
  <si>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</si>
  <si>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</si>
  <si>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</si>
  <si>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</si>
  <si>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</si>
  <si>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</si>
  <si>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</si>
  <si>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</si>
  <si>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</si>
  <si>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</si>
  <si>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</si>
  <si>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</si>
  <si>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</si>
  <si>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</si>
  <si>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</si>
  <si>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</si>
  <si>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</si>
  <si>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</si>
  <si>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</si>
  <si>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</si>
  <si>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</si>
  <si>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</si>
  <si>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</si>
  <si>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</si>
  <si>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</si>
  <si>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</si>
  <si>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</si>
  <si>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</si>
  <si>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</si>
  <si>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</si>
  <si>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</si>
  <si>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</si>
  <si>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</si>
  <si>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</si>
  <si>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</si>
  <si>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</si>
  <si>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</si>
  <si>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</si>
  <si>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</si>
  <si>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</si>
  <si>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</si>
  <si>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</si>
  <si>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</si>
  <si>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</si>
  <si>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</si>
  <si>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</si>
  <si>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</si>
  <si>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</si>
  <si>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</si>
  <si>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</si>
  <si>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</si>
  <si>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</si>
  <si>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</si>
  <si>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</si>
  <si>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</si>
  <si>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</si>
  <si>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</si>
  <si>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</si>
  <si>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</si>
  <si>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</si>
  <si>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</si>
  <si>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</si>
  <si>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</si>
  <si>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</si>
  <si>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</si>
  <si>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</si>
  <si>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</si>
  <si>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</si>
  <si>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</si>
  <si>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</si>
  <si>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</si>
  <si>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</si>
  <si>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</si>
  <si>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</si>
  <si>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</si>
  <si>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</si>
  <si>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</si>
  <si>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</si>
  <si>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</si>
  <si>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</si>
  <si>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</si>
  <si>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</si>
  <si>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</si>
  <si>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</si>
  <si>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</si>
  <si>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</si>
  <si>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</si>
  <si>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</si>
  <si>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</si>
  <si>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</si>
  <si>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</si>
  <si>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</si>
  <si>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</si>
  <si>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</si>
  <si>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</si>
  <si>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</si>
  <si>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</si>
  <si>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</si>
  <si>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</si>
  <si>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</si>
  <si>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</si>
  <si>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</si>
  <si>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</si>
  <si>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</si>
  <si>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</si>
  <si>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</si>
  <si>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</si>
  <si>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</si>
  <si>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</si>
  <si>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</si>
  <si>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</si>
  <si>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</si>
  <si>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</si>
  <si>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</si>
  <si>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</si>
  <si>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</si>
  <si>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</si>
  <si>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</si>
  <si>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</si>
  <si>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</si>
  <si>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</si>
  <si>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</si>
  <si>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</si>
  <si>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</si>
  <si>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</si>
  <si>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</si>
  <si>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</si>
  <si>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</si>
  <si>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</si>
  <si>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</si>
  <si>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</si>
  <si>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</si>
  <si>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</si>
  <si>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</si>
  <si>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</si>
  <si>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</si>
  <si>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</si>
  <si>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</si>
  <si>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</si>
  <si>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</si>
  <si>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</si>
  <si>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</si>
  <si>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</si>
  <si>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</si>
  <si>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</si>
  <si>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</si>
  <si>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</si>
  <si>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</si>
  <si>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</si>
  <si>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</si>
  <si>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</si>
  <si>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</si>
  <si>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</si>
  <si>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</si>
  <si>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</si>
  <si>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</si>
  <si>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</si>
  <si>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</si>
  <si>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</si>
  <si>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</si>
  <si>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</si>
  <si>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</si>
  <si>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</si>
  <si>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</si>
  <si>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</si>
  <si>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</si>
  <si>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</si>
  <si>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</si>
  <si>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</si>
  <si>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</si>
  <si>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</si>
  <si>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</si>
  <si>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</si>
  <si>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</si>
  <si>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</si>
  <si>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</si>
  <si>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</si>
  <si>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</si>
  <si>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</si>
  <si>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</si>
  <si>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</si>
  <si>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</si>
  <si>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</si>
  <si>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</si>
  <si>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</si>
  <si>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</si>
  <si>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</si>
  <si>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</si>
  <si>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</si>
  <si>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</si>
  <si>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</si>
  <si>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</si>
  <si>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</si>
  <si>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</si>
  <si>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</si>
  <si>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</si>
  <si>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</si>
  <si>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</si>
  <si>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</si>
  <si>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</si>
  <si>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</si>
  <si>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</si>
  <si>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</si>
  <si>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</si>
  <si>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</si>
  <si>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</si>
  <si>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</si>
  <si>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</si>
  <si>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</si>
  <si>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</si>
  <si>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</si>
  <si>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</si>
  <si>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</si>
  <si>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</si>
  <si>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</si>
  <si>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</si>
  <si>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</si>
  <si>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</si>
  <si>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</si>
  <si>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</si>
  <si>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</si>
  <si>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</si>
  <si>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</si>
  <si>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</si>
  <si>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</si>
  <si>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</si>
  <si>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</si>
  <si>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</si>
  <si>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</si>
  <si>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</si>
  <si>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</si>
  <si>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</si>
  <si>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</si>
  <si>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</si>
  <si>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</si>
  <si>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</si>
  <si>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</si>
  <si>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</si>
  <si>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</si>
  <si>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</si>
  <si>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</si>
  <si>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</si>
  <si>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</si>
  <si>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</si>
  <si>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</si>
  <si>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</si>
  <si>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</si>
  <si>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</si>
  <si>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</si>
  <si>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</si>
  <si>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</si>
  <si>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</si>
  <si>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</si>
  <si>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</si>
  <si>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</si>
  <si>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</si>
  <si>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</si>
  <si>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</si>
  <si>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</si>
  <si>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</si>
  <si>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</si>
  <si>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</si>
  <si>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</si>
  <si>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</si>
  <si>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</si>
  <si>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</si>
  <si>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</si>
  <si>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</si>
  <si>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</si>
  <si>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</si>
  <si>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</si>
  <si>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</si>
  <si>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</si>
  <si>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</si>
  <si>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</si>
  <si>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</si>
  <si>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</si>
  <si>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</si>
  <si>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</si>
  <si>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</si>
  <si>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</si>
  <si>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</si>
  <si>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</si>
  <si>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</si>
  <si>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</si>
  <si>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</si>
  <si>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</si>
  <si>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</si>
  <si>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</si>
  <si>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</si>
  <si>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</si>
  <si>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</si>
  <si>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</si>
  <si>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</si>
  <si>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</si>
  <si>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</si>
  <si>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</si>
  <si>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</si>
  <si>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</si>
  <si>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</si>
  <si>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</si>
  <si>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</si>
  <si>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</si>
  <si>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</si>
  <si>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</si>
  <si>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</si>
  <si>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</si>
  <si>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</si>
  <si>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</si>
  <si>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</si>
  <si>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</si>
  <si>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</si>
  <si>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</si>
  <si>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</si>
  <si>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</si>
  <si>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</si>
  <si>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</si>
  <si>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</si>
  <si>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</si>
  <si>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</si>
  <si>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</si>
  <si>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</si>
  <si>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</si>
  <si>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</si>
  <si>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</si>
  <si>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</si>
  <si>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</si>
  <si>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</si>
  <si>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</si>
  <si>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</si>
  <si>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</si>
  <si>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</si>
  <si>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</si>
  <si>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</si>
  <si>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</si>
  <si>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</si>
  <si>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</si>
  <si>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</si>
  <si>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</si>
  <si>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</si>
  <si>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</si>
  <si>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</si>
  <si>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</si>
  <si>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</si>
  <si>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</si>
  <si>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</si>
  <si>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</si>
  <si>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</si>
  <si>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</si>
  <si>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</si>
  <si>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</si>
  <si>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</si>
  <si>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</si>
  <si>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</si>
  <si>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</si>
  <si>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</si>
  <si>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</si>
  <si>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</si>
  <si>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</si>
  <si>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</si>
  <si>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</si>
  <si>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</si>
  <si>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</si>
  <si>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</si>
  <si>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</si>
  <si>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</si>
  <si>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</si>
  <si>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</si>
  <si>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</si>
  <si>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</si>
  <si>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</si>
  <si>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</si>
  <si>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</si>
  <si>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</si>
  <si>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</si>
  <si>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</si>
  <si>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</si>
  <si>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</si>
  <si>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</si>
  <si>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</si>
  <si>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</si>
  <si>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</si>
  <si>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</si>
  <si>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</si>
  <si>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</si>
  <si>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</si>
  <si>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</si>
  <si>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</si>
  <si>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</si>
  <si>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</si>
  <si>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</si>
  <si>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</si>
  <si>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</si>
  <si>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</si>
  <si>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</si>
  <si>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</si>
  <si>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</si>
  <si>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</si>
  <si>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</si>
  <si>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</si>
  <si>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</si>
  <si>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</si>
  <si>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</si>
  <si>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</si>
  <si>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</si>
  <si>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</si>
  <si>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</si>
  <si>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</si>
  <si>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</si>
  <si>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</si>
  <si>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</si>
  <si>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</si>
  <si>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</si>
  <si>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</si>
  <si>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</si>
  <si>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</si>
  <si>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</si>
  <si>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</si>
  <si>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</si>
  <si>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</si>
  <si>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</si>
  <si>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</si>
  <si>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</si>
  <si>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</si>
  <si>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</si>
  <si>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</si>
  <si>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</si>
  <si>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</si>
  <si>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</si>
  <si>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</si>
  <si>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</si>
  <si>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</si>
  <si>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</si>
  <si>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</si>
  <si>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</si>
  <si>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</si>
  <si>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</si>
  <si>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</si>
  <si>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</si>
  <si>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</si>
  <si>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</si>
  <si>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</si>
  <si>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</si>
  <si>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</si>
  <si>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</si>
  <si>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</si>
  <si>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</si>
  <si>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</si>
  <si>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</si>
  <si>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</si>
  <si>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</si>
  <si>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</si>
  <si>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</si>
  <si>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</si>
  <si>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</si>
  <si>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</si>
  <si>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</si>
  <si>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</si>
  <si>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</si>
  <si>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</si>
  <si>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</si>
  <si>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</si>
  <si>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</si>
  <si>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</si>
  <si>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</si>
  <si>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</si>
  <si>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</si>
  <si>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</si>
  <si>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</si>
  <si>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</si>
  <si>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</si>
  <si>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</si>
  <si>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</si>
  <si>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</si>
  <si>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</si>
  <si>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</si>
  <si>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</si>
  <si>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</si>
  <si>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</si>
  <si>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</si>
  <si>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</si>
  <si>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</si>
  <si>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</si>
  <si>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</si>
  <si>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</si>
  <si>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</si>
  <si>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</si>
  <si>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</si>
  <si>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</si>
  <si>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</si>
  <si>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</si>
  <si>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</si>
  <si>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</si>
  <si>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</si>
  <si>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</si>
  <si>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</si>
  <si>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</si>
  <si>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</si>
  <si>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</si>
  <si>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</si>
  <si>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</si>
  <si>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</si>
  <si>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</si>
  <si>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</si>
  <si>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</si>
  <si>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</si>
  <si>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</si>
  <si>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</si>
  <si>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</si>
  <si>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</si>
  <si>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</si>
  <si>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</si>
  <si>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</si>
  <si>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</si>
  <si>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</si>
  <si>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</si>
  <si>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</si>
  <si>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</si>
  <si>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</si>
  <si>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</si>
  <si>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</si>
  <si>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</si>
  <si>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</si>
  <si>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</si>
  <si>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</si>
  <si>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</si>
  <si>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</si>
  <si>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</si>
  <si>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</si>
  <si>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</si>
  <si>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</si>
  <si>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</si>
  <si>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</si>
  <si>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</si>
  <si>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</si>
  <si>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</si>
  <si>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</si>
  <si>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</si>
  <si>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</si>
  <si>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</si>
  <si>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</si>
  <si>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</si>
  <si>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</si>
  <si>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</si>
  <si>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</si>
  <si>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</si>
  <si>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</si>
  <si>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</si>
  <si>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</si>
  <si>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</si>
  <si>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</si>
  <si>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</si>
  <si>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</si>
  <si>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</si>
  <si>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</si>
  <si>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</si>
  <si>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</si>
  <si>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</si>
  <si>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</si>
  <si>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</si>
  <si>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</si>
  <si>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</si>
  <si>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</si>
  <si>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</si>
  <si>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</si>
  <si>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</si>
  <si>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</si>
  <si>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</si>
  <si>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</si>
  <si>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</si>
  <si>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</si>
  <si>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</si>
  <si>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</si>
  <si>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</si>
  <si>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</si>
  <si>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</si>
  <si>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</si>
  <si>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</si>
  <si>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</si>
  <si>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</si>
  <si>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</si>
  <si>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</si>
  <si>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</si>
  <si>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</si>
  <si>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</si>
  <si>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</si>
  <si>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</si>
  <si>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</si>
  <si>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</si>
  <si>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</si>
  <si>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</si>
  <si>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</si>
  <si>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</si>
  <si>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</si>
  <si>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</si>
  <si>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</si>
  <si>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</si>
  <si>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</si>
  <si>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</si>
  <si>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</si>
  <si>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</si>
  <si>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</si>
  <si>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</si>
  <si>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</si>
  <si>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</si>
  <si>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</si>
  <si>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</si>
  <si>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</si>
  <si>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</si>
  <si>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</si>
  <si>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</si>
  <si>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</si>
  <si>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</si>
  <si>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</si>
  <si>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</si>
  <si>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</si>
  <si>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</si>
  <si>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</si>
  <si>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</si>
  <si>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</si>
  <si>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</si>
  <si>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</si>
  <si>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</si>
  <si>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</si>
  <si>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</si>
  <si>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</si>
  <si>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</si>
  <si>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</si>
  <si>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</si>
  <si>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</si>
  <si>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</si>
  <si>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</si>
  <si>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</si>
  <si>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</si>
  <si>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</si>
  <si>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</si>
  <si>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</si>
  <si>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</si>
  <si>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</si>
  <si>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</si>
  <si>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</si>
  <si>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</si>
  <si>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</si>
  <si>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</si>
  <si>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</si>
  <si>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</si>
  <si>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</si>
  <si>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</si>
  <si>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</si>
  <si>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</si>
  <si>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</si>
  <si>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</si>
  <si>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</si>
  <si>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</si>
  <si>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</si>
  <si>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</si>
  <si>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</si>
  <si>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</si>
  <si>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</si>
  <si>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</si>
  <si>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</si>
  <si>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</si>
  <si>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</si>
  <si>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</si>
  <si>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</si>
  <si>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</si>
  <si>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</si>
  <si>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</si>
  <si>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</si>
  <si>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</si>
  <si>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</si>
  <si>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</si>
  <si>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</si>
  <si>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</si>
  <si>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</si>
  <si>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</si>
  <si>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</si>
  <si>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</si>
  <si>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</si>
  <si>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</si>
  <si>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</si>
  <si>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</si>
  <si>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</si>
  <si>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</si>
  <si>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</si>
  <si>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</si>
  <si>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</si>
  <si>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</si>
  <si>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</si>
  <si>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</si>
  <si>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</si>
  <si>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</si>
  <si>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</si>
  <si>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</si>
  <si>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</si>
  <si>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</si>
  <si>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</si>
  <si>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</si>
  <si>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</si>
  <si>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</si>
  <si>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</si>
  <si>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</si>
  <si>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</si>
  <si>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</si>
  <si>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</si>
  <si>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</si>
  <si>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</si>
  <si>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</si>
  <si>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</si>
  <si>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</si>
  <si>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</si>
  <si>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</si>
  <si>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</si>
  <si>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</si>
  <si>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</si>
  <si>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</si>
  <si>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</si>
  <si>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</si>
  <si>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</si>
  <si>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</si>
  <si>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</si>
  <si>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</si>
  <si>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</si>
  <si>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</si>
  <si>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</si>
  <si>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</si>
  <si>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</si>
  <si>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</si>
  <si>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</si>
  <si>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</si>
  <si>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</si>
  <si>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</si>
  <si>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</si>
  <si>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</si>
  <si>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</si>
  <si>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</si>
  <si>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</si>
  <si>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</si>
  <si>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</si>
  <si>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</si>
  <si>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</si>
  <si>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</si>
  <si>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</si>
  <si>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</si>
  <si>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</si>
  <si>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</si>
  <si>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</si>
  <si>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</si>
  <si>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</si>
  <si>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</si>
  <si>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</si>
  <si>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</si>
  <si>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</si>
  <si>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</si>
  <si>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</si>
  <si>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</si>
  <si>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</si>
  <si>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</si>
  <si>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</si>
  <si>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</si>
  <si>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</si>
  <si>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</si>
  <si>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</si>
  <si>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</si>
  <si>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</si>
  <si>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</si>
  <si>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</si>
  <si>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</si>
  <si>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</si>
  <si>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</si>
  <si>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</si>
  <si>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</si>
  <si>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</si>
  <si>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</si>
  <si>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</si>
  <si>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</si>
  <si>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</si>
  <si>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</si>
  <si>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</si>
  <si>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</si>
  <si>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</si>
  <si>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</si>
  <si>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</si>
  <si>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</si>
  <si>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</si>
  <si>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</si>
  <si>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</si>
  <si>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</si>
  <si>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</si>
  <si>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</si>
  <si>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</si>
  <si>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</si>
  <si>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</si>
  <si>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</si>
  <si>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</si>
  <si>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</si>
  <si>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</si>
  <si>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</si>
  <si>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</si>
  <si>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</si>
  <si>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</si>
  <si>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</si>
  <si>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</si>
  <si>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</si>
  <si>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</si>
  <si>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</si>
  <si>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</si>
  <si>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</si>
  <si>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</si>
  <si>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</si>
  <si>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</si>
  <si>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</si>
  <si>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</si>
  <si>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</si>
  <si>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</si>
  <si>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</si>
  <si>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</si>
  <si>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</si>
  <si>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</si>
  <si>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</si>
  <si>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</si>
  <si>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</si>
  <si>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</si>
  <si>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</si>
  <si>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</si>
  <si>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</si>
  <si>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</si>
  <si>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</si>
  <si>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</si>
  <si>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</si>
  <si>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</si>
  <si>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</si>
  <si>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</si>
  <si>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</si>
  <si>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</si>
  <si>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</si>
  <si>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</si>
  <si>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</si>
  <si>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</si>
  <si>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</si>
  <si>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</si>
  <si>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</si>
  <si>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</si>
  <si>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</si>
  <si>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</si>
  <si>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</si>
  <si>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</si>
  <si>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</si>
  <si>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</si>
  <si>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</si>
  <si>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</si>
  <si>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</si>
  <si>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</si>
  <si>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</si>
  <si>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</si>
  <si>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</si>
  <si>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</si>
  <si>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</si>
  <si>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</si>
  <si>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</si>
  <si>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</si>
  <si>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</si>
  <si>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</si>
  <si>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</si>
  <si>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</si>
  <si>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</si>
  <si>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</si>
  <si>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</si>
  <si>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</si>
  <si>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</si>
  <si>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</si>
  <si>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</si>
  <si>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</si>
  <si>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</si>
  <si>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</si>
  <si>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</si>
  <si>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</si>
  <si>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</si>
  <si>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</si>
  <si>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</si>
  <si>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</si>
  <si>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</si>
  <si>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</si>
  <si>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</si>
  <si>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</si>
  <si>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</si>
  <si>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</si>
  <si>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</si>
  <si>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</si>
  <si>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</si>
  <si>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</si>
  <si>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</si>
  <si>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</si>
  <si>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</si>
  <si>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</si>
  <si>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</si>
  <si>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</si>
  <si>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</si>
  <si>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</si>
  <si>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</si>
  <si>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</si>
  <si>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</si>
  <si>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</si>
  <si>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</si>
  <si>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</si>
  <si>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</si>
  <si>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</si>
  <si>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</si>
  <si>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</si>
  <si>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</si>
  <si>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</si>
  <si>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</si>
  <si>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</si>
  <si>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</si>
  <si>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</si>
  <si>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</si>
  <si>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</si>
  <si>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</si>
  <si>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</si>
  <si>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</si>
  <si>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</si>
  <si>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</si>
  <si>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</si>
  <si>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</si>
  <si>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</si>
  <si>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</si>
  <si>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</si>
  <si>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</si>
  <si>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</si>
  <si>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</si>
  <si>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</si>
  <si>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</si>
  <si>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</si>
  <si>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</si>
  <si>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</si>
  <si>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</si>
  <si>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</si>
  <si>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</si>
  <si>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</si>
  <si>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</si>
  <si>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</si>
  <si>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</si>
  <si>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</si>
  <si>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</si>
  <si>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</si>
  <si>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</si>
  <si>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</si>
  <si>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</si>
  <si>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</si>
  <si>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</si>
  <si>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</si>
  <si>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</si>
  <si>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</si>
  <si>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</si>
  <si>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</si>
  <si>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</si>
  <si>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</si>
  <si>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</si>
  <si>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</si>
  <si>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</si>
  <si>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</si>
  <si>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</si>
  <si>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</si>
  <si>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</si>
  <si>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</si>
  <si>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</si>
  <si>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</si>
  <si>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</si>
  <si>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</si>
  <si>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</si>
  <si>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</si>
  <si>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</si>
  <si>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</si>
  <si>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</si>
  <si>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</si>
  <si>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</si>
  <si>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</si>
  <si>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</si>
  <si>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</si>
  <si>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</si>
  <si>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</si>
  <si>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</si>
  <si>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</si>
  <si>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</si>
  <si>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</si>
  <si>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</si>
  <si>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</si>
  <si>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</si>
  <si>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</si>
  <si>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</si>
  <si>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</si>
  <si>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</si>
  <si>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</si>
  <si>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</si>
  <si>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</si>
  <si>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</si>
  <si>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</si>
  <si>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</si>
  <si>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</si>
  <si>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</si>
  <si>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</si>
  <si>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</si>
  <si>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</si>
  <si>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</si>
  <si>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</si>
  <si>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</si>
  <si>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</si>
  <si>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</si>
  <si>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</si>
  <si>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</si>
  <si>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</si>
  <si>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</si>
  <si>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</si>
  <si>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</si>
  <si>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</si>
  <si>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</si>
  <si>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</si>
  <si>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</si>
  <si>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</si>
  <si>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</si>
  <si>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</si>
  <si>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</si>
  <si>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</si>
  <si>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</si>
  <si>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</si>
  <si>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</si>
  <si>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</si>
  <si>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</si>
  <si>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</si>
  <si>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</si>
  <si>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</si>
  <si>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</si>
  <si>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</si>
  <si>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</si>
  <si>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</si>
  <si>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</si>
  <si>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</si>
  <si>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</si>
  <si>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</si>
  <si>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</si>
  <si>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</si>
  <si>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</si>
  <si>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</si>
  <si>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</si>
  <si>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</si>
  <si>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</si>
  <si>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</si>
  <si>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</si>
  <si>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</si>
  <si>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</si>
  <si>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</si>
  <si>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</si>
  <si>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</si>
  <si>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</si>
  <si>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</si>
  <si>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</si>
  <si>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</si>
  <si>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</si>
  <si>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</si>
  <si>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</si>
  <si>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</si>
  <si>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</si>
  <si>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</si>
  <si>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</si>
  <si>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</si>
  <si>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</si>
  <si>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</si>
  <si>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</si>
  <si>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</si>
  <si>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</si>
  <si>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</si>
  <si>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</si>
  <si>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</si>
  <si>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</si>
  <si>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</si>
  <si>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</si>
  <si>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</si>
  <si>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</si>
  <si>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</si>
  <si>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</si>
  <si>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</si>
  <si>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</si>
  <si>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</si>
  <si>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</si>
  <si>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</si>
  <si>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</si>
  <si>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</si>
  <si>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</si>
  <si>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</si>
  <si>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</si>
  <si>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</si>
  <si>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</si>
  <si>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</si>
  <si>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</si>
  <si>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</si>
  <si>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</si>
  <si>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</si>
  <si>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</si>
  <si>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</si>
  <si>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</si>
  <si>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</si>
  <si>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</si>
  <si>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</si>
  <si>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</si>
  <si>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</si>
  <si>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</si>
  <si>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</si>
  <si>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</si>
  <si>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</si>
  <si>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</si>
  <si>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</si>
  <si>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</si>
  <si>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</si>
  <si>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</si>
  <si>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</si>
  <si>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</si>
  <si>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</si>
  <si>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</si>
  <si>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</si>
  <si>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</si>
  <si>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</si>
  <si>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</si>
  <si>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</si>
  <si>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</si>
  <si>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</si>
  <si>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</si>
  <si>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</si>
  <si>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</si>
  <si>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</si>
  <si>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</si>
  <si>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</si>
  <si>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</si>
  <si>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</si>
  <si>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</si>
  <si>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</si>
  <si>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</si>
  <si>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</si>
  <si>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</si>
  <si>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</si>
  <si>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</si>
  <si>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</si>
  <si>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</si>
  <si>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</si>
  <si>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</si>
  <si>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</si>
  <si>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</si>
  <si>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</si>
  <si>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</si>
  <si>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</si>
  <si>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</si>
  <si>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</si>
  <si>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</si>
  <si>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</si>
  <si>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</si>
  <si>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</si>
  <si>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</si>
  <si>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</si>
  <si>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</si>
  <si>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</si>
  <si>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</si>
  <si>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</si>
  <si>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</si>
  <si>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</si>
  <si>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</si>
  <si>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</si>
  <si>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</si>
  <si>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</si>
  <si>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</si>
  <si>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</si>
  <si>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</si>
  <si>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</si>
  <si>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</si>
  <si>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</si>
  <si>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</si>
  <si>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</si>
  <si>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</si>
  <si>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</si>
  <si>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</si>
  <si>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</si>
  <si>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</si>
  <si>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</si>
  <si>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</si>
  <si>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</si>
  <si>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</si>
  <si>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</si>
  <si>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</si>
  <si>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</si>
  <si>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</si>
  <si>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</si>
  <si>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</si>
  <si>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</si>
  <si>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</si>
  <si>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</si>
  <si>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</si>
  <si>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</si>
  <si>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</si>
  <si>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</si>
  <si>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</si>
  <si>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</si>
  <si>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</si>
  <si>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</si>
  <si>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</si>
  <si>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</si>
  <si>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</si>
  <si>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</si>
  <si>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</si>
  <si>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</si>
  <si>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</si>
  <si>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</si>
  <si>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</si>
  <si>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</si>
  <si>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</si>
  <si>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</si>
  <si>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</si>
  <si>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</si>
  <si>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</si>
  <si>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</si>
  <si>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</si>
  <si>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</si>
  <si>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</si>
  <si>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</si>
  <si>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</si>
  <si>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</si>
  <si>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</si>
  <si>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</si>
  <si>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</si>
  <si>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</si>
  <si>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</si>
  <si>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</si>
  <si>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</si>
  <si>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</si>
  <si>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</si>
  <si>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</si>
  <si>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</si>
  <si>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</si>
  <si>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</si>
  <si>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</si>
  <si>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</si>
  <si>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</si>
  <si>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</si>
  <si>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</si>
  <si>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</si>
  <si>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</si>
  <si>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</si>
  <si>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</si>
  <si>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</si>
  <si>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</si>
  <si>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</si>
  <si>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</si>
  <si>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</si>
  <si>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</si>
  <si>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</si>
  <si>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</si>
  <si>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</si>
  <si>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</si>
  <si>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</si>
  <si>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</si>
  <si>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</si>
  <si>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</si>
  <si>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</si>
  <si>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</si>
  <si>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</si>
  <si>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</si>
  <si>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</si>
  <si>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</si>
  <si>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</si>
  <si>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</si>
  <si>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</si>
  <si>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</si>
  <si>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</si>
  <si>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</si>
  <si>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</si>
  <si>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</si>
  <si>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</si>
  <si>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</si>
  <si>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</si>
  <si>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</si>
  <si>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</si>
  <si>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</si>
  <si>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</si>
  <si>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</si>
  <si>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</si>
  <si>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</si>
  <si>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</si>
  <si>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</si>
  <si>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</si>
  <si>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</si>
  <si>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</si>
  <si>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</si>
  <si>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</si>
  <si>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</si>
  <si>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</si>
  <si>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</si>
  <si>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</si>
  <si>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</si>
  <si>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</si>
  <si>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</si>
  <si>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</si>
  <si>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</si>
  <si>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</si>
  <si>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</si>
  <si>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</si>
  <si>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</si>
  <si>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</si>
  <si>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</si>
  <si>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</si>
  <si>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</si>
  <si>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</si>
  <si>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</si>
  <si>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</si>
  <si>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</si>
  <si>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</si>
  <si>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</si>
  <si>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</si>
  <si>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</si>
  <si>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</si>
  <si>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</si>
  <si>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</si>
  <si>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</si>
  <si>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</si>
  <si>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</si>
  <si>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</si>
  <si>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</si>
  <si>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</si>
  <si>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</si>
  <si>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</si>
  <si>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</si>
  <si>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</si>
  <si>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</si>
  <si>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</si>
  <si>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</si>
  <si>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</si>
  <si>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</si>
  <si>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</si>
  <si>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</si>
  <si>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</si>
  <si>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</si>
  <si>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</si>
  <si>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</si>
  <si>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</si>
  <si>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</si>
  <si>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</si>
  <si>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</si>
  <si>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</si>
  <si>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</si>
  <si>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</si>
  <si>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</si>
  <si>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</si>
  <si>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</si>
  <si>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</si>
  <si>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</si>
  <si>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</si>
  <si>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</si>
  <si>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</si>
  <si>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</si>
  <si>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</si>
  <si>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</si>
  <si>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</si>
  <si>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</si>
  <si>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</si>
  <si>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</si>
  <si>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</si>
  <si>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</si>
  <si>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</si>
  <si>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</si>
  <si>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</si>
  <si>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</si>
  <si>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</si>
  <si>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</si>
  <si>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</si>
  <si>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</si>
  <si>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</si>
  <si>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</si>
  <si>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</si>
  <si>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</si>
  <si>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</si>
  <si>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</si>
  <si>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</si>
  <si>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</si>
  <si>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</si>
  <si>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</si>
  <si>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</si>
  <si>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</si>
  <si>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</si>
  <si>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</si>
  <si>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</si>
  <si>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</si>
  <si>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</si>
  <si>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</si>
  <si>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</si>
  <si>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</si>
  <si>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</si>
  <si>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</si>
  <si>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</si>
  <si>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</si>
  <si>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</si>
  <si>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</si>
  <si>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</si>
  <si>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</si>
  <si>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</si>
  <si>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</si>
  <si>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</si>
  <si>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</si>
  <si>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</si>
  <si>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</si>
  <si>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</si>
  <si>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</si>
  <si>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</si>
  <si>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</si>
  <si>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</si>
  <si>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</si>
  <si>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</si>
  <si>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</si>
  <si>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</si>
  <si>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</si>
  <si>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</si>
  <si>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</si>
  <si>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</si>
  <si>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</si>
  <si>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</si>
  <si>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</si>
  <si>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</si>
  <si>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</si>
  <si>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</si>
  <si>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</si>
  <si>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</si>
  <si>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</si>
  <si>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</si>
  <si>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</si>
  <si>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</si>
  <si>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</si>
  <si>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</si>
  <si>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</si>
  <si>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</si>
  <si>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</si>
  <si>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</si>
  <si>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</si>
  <si>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</si>
  <si>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</si>
  <si>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</si>
  <si>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</si>
  <si>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</si>
  <si>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</si>
  <si>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</si>
  <si>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</si>
  <si>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</si>
  <si>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</si>
  <si>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</si>
  <si>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</si>
  <si>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</si>
  <si>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</si>
  <si>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</si>
  <si>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</si>
  <si>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</si>
  <si>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</si>
  <si>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</si>
  <si>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</si>
  <si>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</si>
  <si>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</si>
  <si>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</si>
  <si>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</si>
  <si>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</si>
  <si>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</si>
  <si>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</si>
  <si>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</si>
  <si>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</si>
  <si>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</si>
  <si>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</si>
  <si>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</si>
  <si>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</si>
  <si>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</si>
  <si>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</si>
  <si>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</si>
  <si>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</si>
  <si>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</si>
  <si>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</si>
  <si>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</si>
  <si>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</si>
  <si>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</si>
  <si>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</si>
  <si>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</si>
  <si>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</si>
  <si>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</si>
  <si>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</si>
  <si>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</si>
  <si>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</si>
  <si>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</si>
  <si>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</si>
  <si>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</si>
  <si>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</si>
  <si>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</si>
  <si>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</si>
  <si>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</si>
  <si>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</si>
  <si>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</si>
  <si>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</si>
  <si>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</si>
  <si>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</si>
  <si>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</si>
  <si>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</si>
  <si>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</si>
  <si>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</si>
  <si>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</si>
  <si>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</si>
  <si>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</si>
  <si>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</si>
  <si>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</si>
  <si>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</si>
  <si>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</si>
  <si>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</si>
  <si>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</si>
  <si>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</si>
  <si>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</si>
  <si>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</si>
  <si>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</si>
  <si>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</si>
  <si>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</si>
  <si>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</si>
  <si>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</si>
  <si>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</si>
  <si>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</si>
  <si>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</si>
  <si>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</si>
  <si>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</si>
  <si>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</si>
  <si>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</si>
  <si>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</si>
  <si>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</si>
  <si>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</si>
  <si>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</si>
  <si>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</si>
  <si>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</si>
  <si>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</si>
  <si>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</si>
  <si>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</si>
  <si>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</si>
  <si>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</si>
  <si>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</si>
  <si>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</si>
  <si>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</si>
  <si>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</si>
  <si>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</si>
  <si>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</si>
  <si>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</si>
  <si>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</si>
  <si>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</si>
  <si>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</si>
  <si>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</si>
  <si>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</si>
  <si>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</si>
  <si>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</si>
  <si>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</si>
  <si>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</si>
  <si>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</si>
  <si>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</si>
  <si>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</si>
  <si>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</si>
  <si>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</si>
  <si>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</si>
  <si>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</si>
  <si>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</si>
  <si>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</si>
  <si>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</si>
  <si>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</si>
  <si>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</si>
  <si>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</si>
  <si>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</si>
  <si>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</si>
  <si>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</si>
  <si>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</si>
  <si>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</si>
  <si>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</si>
  <si>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</si>
  <si>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</si>
  <si>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</si>
  <si>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</si>
  <si>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</si>
  <si>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</si>
  <si>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</si>
  <si>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</si>
  <si>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</si>
  <si>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</si>
  <si>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</si>
  <si>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</si>
  <si>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</si>
  <si>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</si>
  <si>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</si>
  <si>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</si>
  <si>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</si>
  <si>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</si>
  <si>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</si>
  <si>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</si>
  <si>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</si>
  <si>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</si>
  <si>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</si>
  <si>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</si>
  <si>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</si>
  <si>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</si>
  <si>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</si>
  <si>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</si>
  <si>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</si>
  <si>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</si>
  <si>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</si>
  <si>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</si>
  <si>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</si>
  <si>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</si>
  <si>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</si>
  <si>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</si>
  <si>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</si>
  <si>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</si>
  <si>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</si>
  <si>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</si>
  <si>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</si>
  <si>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</si>
  <si>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</si>
  <si>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</si>
  <si>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</si>
  <si>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</si>
  <si>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</si>
  <si>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</si>
  <si>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</si>
  <si>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</si>
  <si>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</si>
  <si>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</si>
  <si>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</si>
  <si>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</si>
  <si>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</si>
  <si>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</si>
  <si>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</si>
  <si>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</si>
  <si>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</si>
  <si>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</si>
  <si>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</si>
  <si>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</si>
  <si>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</si>
  <si>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</si>
  <si>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</si>
  <si>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</si>
  <si>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</si>
  <si>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</si>
  <si>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</si>
  <si>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</si>
  <si>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</si>
  <si>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</si>
  <si>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</si>
  <si>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</si>
  <si>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</si>
  <si>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</si>
  <si>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</si>
  <si>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</si>
  <si>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</si>
  <si>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</si>
  <si>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</si>
  <si>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</si>
  <si>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</si>
  <si>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</si>
  <si>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</si>
  <si>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</si>
  <si>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</si>
  <si>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</si>
  <si>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</si>
  <si>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</si>
  <si>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</si>
  <si>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</si>
  <si>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</si>
  <si>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</si>
  <si>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</si>
  <si>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</si>
  <si>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</si>
  <si>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</si>
  <si>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</si>
  <si>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</si>
  <si>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</si>
  <si>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</si>
  <si>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</si>
  <si>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</si>
  <si>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</si>
  <si>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</si>
  <si>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</si>
  <si>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</si>
  <si>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</si>
  <si>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</si>
  <si>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</si>
  <si>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</si>
  <si>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</si>
  <si>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</si>
  <si>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</si>
  <si>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</si>
  <si>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</si>
  <si>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</si>
  <si>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</si>
  <si>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</si>
  <si>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</si>
  <si>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</si>
  <si>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</si>
  <si>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</si>
  <si>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</si>
  <si>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</si>
  <si>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</si>
  <si>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</si>
  <si>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</si>
  <si>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</si>
  <si>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</si>
  <si>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</si>
  <si>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</si>
  <si>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</si>
  <si>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</si>
  <si>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</si>
  <si>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</si>
  <si>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</si>
  <si>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</si>
  <si>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</si>
  <si>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</si>
  <si>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</si>
  <si>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</si>
  <si>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</si>
  <si>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</si>
  <si>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</si>
  <si>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</si>
  <si>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</si>
  <si>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</si>
  <si>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</si>
  <si>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</si>
  <si>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</si>
  <si>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</si>
  <si>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</si>
  <si>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</si>
  <si>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</si>
  <si>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</si>
  <si>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</si>
  <si>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</si>
  <si>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</si>
  <si>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</si>
  <si>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</si>
  <si>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</si>
  <si>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</si>
  <si>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</si>
  <si>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</si>
  <si>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</si>
  <si>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</si>
  <si>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</si>
  <si>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</si>
  <si>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</si>
  <si>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</si>
  <si>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</si>
  <si>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</si>
  <si>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</si>
  <si>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</si>
  <si>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</si>
  <si>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</si>
  <si>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</si>
  <si>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</si>
  <si>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</si>
  <si>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</si>
  <si>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</si>
  <si>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</si>
  <si>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</si>
  <si>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</si>
  <si>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</si>
  <si>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</si>
  <si>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</si>
  <si>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</si>
  <si>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</si>
  <si>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</si>
  <si>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</si>
  <si>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</si>
  <si>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</si>
  <si>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</si>
  <si>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</si>
  <si>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</si>
  <si>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</si>
  <si>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</si>
  <si>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</si>
  <si>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</si>
  <si>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</si>
  <si>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</si>
  <si>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</si>
  <si>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</si>
  <si>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</si>
  <si>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</si>
  <si>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</si>
  <si>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</si>
  <si>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</si>
  <si>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</si>
  <si>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</si>
  <si>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</si>
  <si>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</si>
  <si>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</si>
  <si>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</si>
  <si>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</si>
  <si>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</si>
  <si>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</si>
  <si>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</si>
  <si>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</si>
  <si>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</si>
  <si>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</si>
  <si>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</si>
  <si>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</si>
  <si>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</si>
  <si>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</si>
  <si>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</si>
  <si>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</si>
  <si>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</si>
  <si>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</si>
  <si>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</si>
  <si>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</si>
  <si>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</si>
  <si>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</si>
  <si>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</si>
  <si>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</si>
  <si>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</si>
  <si>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</si>
  <si>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</si>
  <si>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</si>
  <si>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</si>
  <si>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</si>
  <si>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</si>
  <si>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</si>
  <si>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</si>
  <si>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</si>
  <si>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</si>
  <si>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</si>
  <si>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</si>
  <si>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</si>
  <si>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</si>
  <si>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</si>
  <si>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</si>
  <si>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</si>
  <si>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</si>
  <si>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</si>
  <si>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</si>
  <si>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</si>
  <si>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</si>
  <si>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</si>
  <si>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</si>
  <si>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</si>
  <si>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</si>
  <si>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</si>
  <si>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</si>
  <si>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</si>
  <si>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</si>
  <si>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</si>
  <si>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</si>
  <si>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</si>
  <si>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</si>
  <si>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</si>
  <si>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</si>
  <si>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</si>
  <si>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</si>
  <si>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</si>
  <si>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</si>
  <si>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</si>
  <si>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</si>
  <si>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</si>
  <si>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</si>
  <si>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</si>
  <si>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</si>
  <si>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</si>
  <si>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</si>
  <si>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</si>
  <si>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</si>
  <si>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</si>
  <si>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</si>
  <si>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</si>
  <si>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</si>
  <si>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</si>
  <si>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</si>
  <si>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</si>
  <si>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</si>
  <si>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</si>
  <si>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</si>
  <si>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</si>
  <si>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</si>
  <si>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</si>
  <si>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</si>
  <si>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</si>
  <si>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</si>
  <si>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</si>
  <si>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</si>
  <si>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</si>
  <si>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</si>
  <si>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</si>
  <si>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</si>
  <si>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</si>
  <si>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</si>
  <si>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</si>
  <si>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</si>
  <si>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</si>
  <si>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</si>
  <si>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</si>
  <si>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</si>
  <si>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</si>
  <si>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</si>
  <si>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</si>
  <si>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</si>
  <si>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</si>
  <si>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</si>
  <si>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</si>
  <si>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</si>
  <si>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</si>
  <si>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</si>
  <si>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</si>
  <si>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</si>
  <si>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</si>
  <si>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</si>
  <si>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</si>
  <si>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</si>
  <si>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</si>
  <si>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</si>
  <si>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</si>
  <si>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</si>
  <si>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</si>
  <si>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</si>
  <si>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</si>
  <si>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</si>
  <si>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</si>
  <si>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</si>
  <si>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</si>
  <si>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</si>
  <si>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</si>
  <si>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</si>
  <si>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</si>
  <si>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</si>
  <si>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</si>
  <si>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</si>
  <si>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</si>
  <si>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</si>
  <si>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</si>
  <si>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</si>
  <si>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</si>
  <si>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</si>
  <si>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</si>
  <si>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</si>
  <si>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</si>
  <si>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</si>
  <si>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</si>
  <si>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</si>
  <si>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</si>
  <si>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</si>
  <si>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</si>
  <si>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</si>
  <si>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</si>
  <si>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</si>
  <si>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</si>
  <si>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</si>
  <si>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</si>
  <si>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</si>
  <si>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</si>
  <si>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</si>
  <si>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</si>
  <si>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</si>
  <si>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</si>
  <si>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</si>
  <si>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</si>
  <si>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</si>
  <si>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</si>
  <si>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</si>
  <si>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</si>
  <si>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</si>
  <si>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</si>
  <si>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</si>
  <si>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</si>
  <si>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</si>
  <si>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</si>
  <si>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</si>
  <si>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</si>
  <si>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</si>
  <si>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</si>
  <si>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</si>
  <si>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</si>
  <si>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</si>
  <si>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</si>
  <si>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</si>
  <si>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</si>
  <si>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</si>
  <si>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</si>
  <si>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</si>
  <si>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</si>
  <si>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</si>
  <si>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</si>
  <si>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</si>
  <si>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</si>
  <si>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</si>
  <si>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</si>
  <si>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</si>
  <si>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2006 SVEUČILIŠTE U ZAGREBU - KINEZIOLOŠKI FAKULTET</t>
  </si>
  <si>
    <t>Zagreb, 28.09.2022.</t>
  </si>
  <si>
    <t>Gordana Mazalović</t>
  </si>
  <si>
    <t>01/3658-627</t>
  </si>
  <si>
    <t>gordana.mazalovic@kif.hr</t>
  </si>
  <si>
    <t>HRVATSKA ZAKLADA ZA ZNANOST (52209)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</si>
</sst>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3" sqref="C3:E3"/>
    </sheetView>
  </sheetViews>
  <sheetFormatPr defaultColWidth="0" defaultRowHeight="12.7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1" t="s">
        <v>5277</v>
      </c>
      <c r="D3" s="292"/>
      <c r="E3" s="293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4" t="s">
        <v>5278</v>
      </c>
      <c r="D4" s="295"/>
      <c r="E4" s="296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4" t="s">
        <v>5279</v>
      </c>
      <c r="D5" s="295"/>
      <c r="E5" s="296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4" t="s">
        <v>5280</v>
      </c>
      <c r="D6" s="295"/>
      <c r="E6" s="296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.75" thickBot="1">
      <c r="A7" s="96"/>
      <c r="B7" s="131" t="s">
        <v>263</v>
      </c>
      <c r="C7" s="294" t="s">
        <v>5281</v>
      </c>
      <c r="D7" s="295"/>
      <c r="E7" s="296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88" t="s">
        <v>5270</v>
      </c>
      <c r="C9" s="289"/>
      <c r="D9" s="289"/>
      <c r="E9" s="289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88" t="s">
        <v>3</v>
      </c>
      <c r="C11" s="289"/>
      <c r="D11" s="289"/>
      <c r="E11" s="289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88" t="s">
        <v>5082</v>
      </c>
      <c r="C13" s="289"/>
      <c r="D13" s="289"/>
      <c r="E13" s="289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8041908</v>
      </c>
      <c r="D16" s="101">
        <f>+D17+D18</f>
        <v>9010830</v>
      </c>
      <c r="E16" s="101">
        <f>+E17+E18</f>
        <v>8890838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8040581</v>
      </c>
      <c r="D17" s="104">
        <f>+'A.1 PRIHODI'!D30</f>
        <v>9009503</v>
      </c>
      <c r="E17" s="104">
        <f>+'A.1 PRIHODI'!D44</f>
        <v>8889511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1327</v>
      </c>
      <c r="D18" s="104">
        <f>+'A.1 PRIHODI'!D33</f>
        <v>1327</v>
      </c>
      <c r="E18" s="104">
        <f>+'A.1 PRIHODI'!D47</f>
        <v>1327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7757823</v>
      </c>
      <c r="D19" s="108">
        <f>+D20+D21</f>
        <v>9010830</v>
      </c>
      <c r="E19" s="108">
        <f>+E20+E21</f>
        <v>8890838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5908015</v>
      </c>
      <c r="D20" s="110">
        <f>+'A.2 RASHODI'!D22</f>
        <v>5886883</v>
      </c>
      <c r="E20" s="110">
        <f>+'A.2 RASHODI'!D39</f>
        <v>5786799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1849808</v>
      </c>
      <c r="D21" s="110">
        <f>+'A.2 RASHODI'!D30</f>
        <v>3123947</v>
      </c>
      <c r="E21" s="110">
        <f>+'A.2 RASHODI'!D47</f>
        <v>3104039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">
      <c r="A22" s="100"/>
      <c r="B22" s="100" t="s">
        <v>10</v>
      </c>
      <c r="C22" s="101">
        <f>+C16-C19</f>
        <v>284085</v>
      </c>
      <c r="D22" s="101">
        <f>+D16-D19</f>
        <v>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0"/>
      <c r="C23" s="289"/>
      <c r="D23" s="289"/>
      <c r="E23" s="289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">
      <c r="B24" s="288" t="s">
        <v>5085</v>
      </c>
      <c r="C24" s="289"/>
      <c r="D24" s="289"/>
      <c r="E24" s="289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906571</v>
      </c>
      <c r="D29" s="109">
        <f>+'Unos prijenosa'!D13</f>
        <v>1190656</v>
      </c>
      <c r="E29" s="109">
        <f>+'Unos prijenosa'!D21</f>
        <v>1190656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-1190656</v>
      </c>
      <c r="D30" s="113">
        <f>+'Unos prijenosa'!D15</f>
        <v>-1190656</v>
      </c>
      <c r="E30" s="114">
        <f>+'Unos prijenosa'!D23</f>
        <v>-1190656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">
      <c r="A31" s="100"/>
      <c r="B31" s="100" t="s">
        <v>15</v>
      </c>
      <c r="C31" s="108">
        <f>+C27-C28+C29+C30</f>
        <v>-284085</v>
      </c>
      <c r="D31" s="108">
        <f t="shared" ref="D31:E31" si="2">+D27-D28+D29+D30</f>
        <v>0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0"/>
      <c r="C32" s="289"/>
      <c r="D32" s="289"/>
      <c r="E32" s="289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">
      <c r="B55" s="288" t="s">
        <v>5270</v>
      </c>
      <c r="C55" s="289"/>
      <c r="D55" s="289"/>
      <c r="E55" s="289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">
      <c r="B57" s="288" t="s">
        <v>3</v>
      </c>
      <c r="C57" s="289"/>
      <c r="D57" s="289"/>
      <c r="E57" s="289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">
      <c r="B59" s="288" t="s">
        <v>5082</v>
      </c>
      <c r="C59" s="289"/>
      <c r="D59" s="289"/>
      <c r="E59" s="289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">
      <c r="A62" s="100"/>
      <c r="B62" s="100" t="s">
        <v>4</v>
      </c>
      <c r="C62" s="101">
        <f>SUM(C63:C64)</f>
        <v>60591755.825999998</v>
      </c>
      <c r="D62" s="101">
        <f>+D63+D64</f>
        <v>67892098.635000005</v>
      </c>
      <c r="E62" s="101">
        <f>+E63+E64</f>
        <v>66988018.910999998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60581757.544500001</v>
      </c>
      <c r="D63" s="104">
        <f t="shared" ref="D63:E63" si="3">+D17*7.5345</f>
        <v>67882100.353500009</v>
      </c>
      <c r="E63" s="104">
        <f t="shared" si="3"/>
        <v>66978020.629500002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">
      <c r="A64" s="103">
        <v>7</v>
      </c>
      <c r="B64" s="105" t="s">
        <v>6</v>
      </c>
      <c r="C64" s="104">
        <f>+C18*7.5345</f>
        <v>9998.281500000001</v>
      </c>
      <c r="D64" s="104">
        <f t="shared" ref="D64:E67" si="4">+D18*7.5345</f>
        <v>9998.281500000001</v>
      </c>
      <c r="E64" s="104">
        <f t="shared" si="4"/>
        <v>9998.281500000001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58451317.393500008</v>
      </c>
      <c r="D65" s="108">
        <f>+D66+D67</f>
        <v>67892098.635000005</v>
      </c>
      <c r="E65" s="108">
        <f>+E66+E67</f>
        <v>66988018.911000006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">
      <c r="A66" s="107">
        <v>3</v>
      </c>
      <c r="B66" s="100" t="s">
        <v>8</v>
      </c>
      <c r="C66" s="104">
        <f>+C20*7.5345</f>
        <v>44513939.017500006</v>
      </c>
      <c r="D66" s="104">
        <f t="shared" si="4"/>
        <v>44354719.963500001</v>
      </c>
      <c r="E66" s="104">
        <f t="shared" si="4"/>
        <v>43600637.065500006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">
      <c r="A67" s="103">
        <v>4</v>
      </c>
      <c r="B67" s="105" t="s">
        <v>9</v>
      </c>
      <c r="C67" s="104">
        <f>+C21*7.5345</f>
        <v>13937378.376</v>
      </c>
      <c r="D67" s="104">
        <f t="shared" si="4"/>
        <v>23537378.671500001</v>
      </c>
      <c r="E67" s="104">
        <f t="shared" si="4"/>
        <v>23387381.8455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">
      <c r="A68" s="100"/>
      <c r="B68" s="100" t="s">
        <v>10</v>
      </c>
      <c r="C68" s="101">
        <f>+C62-C65</f>
        <v>2140438.4324999899</v>
      </c>
      <c r="D68" s="101">
        <f>+D62-D65</f>
        <v>0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">
      <c r="B69" s="290"/>
      <c r="C69" s="289"/>
      <c r="D69" s="289"/>
      <c r="E69" s="289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">
      <c r="B70" s="288" t="s">
        <v>5085</v>
      </c>
      <c r="C70" s="289"/>
      <c r="D70" s="289"/>
      <c r="E70" s="289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ref="C75:E75" si="9">+C29*7.5345</f>
        <v>6830559.1995000001</v>
      </c>
      <c r="D75" s="104">
        <f t="shared" si="9"/>
        <v>8970997.6320000011</v>
      </c>
      <c r="E75" s="104">
        <f t="shared" si="9"/>
        <v>8970997.6320000011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-8970997.6320000011</v>
      </c>
      <c r="D76" s="104">
        <f t="shared" si="10"/>
        <v>-8970997.6320000011</v>
      </c>
      <c r="E76" s="104">
        <f t="shared" si="10"/>
        <v>-8970997.6320000011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">
      <c r="A77" s="100"/>
      <c r="B77" s="100" t="s">
        <v>15</v>
      </c>
      <c r="C77" s="108">
        <f>+C73-C74+C75+C76</f>
        <v>-2140438.432500001</v>
      </c>
      <c r="D77" s="108">
        <f t="shared" ref="D77:E77" si="11">+D73-D74+D75+D76</f>
        <v>0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">
      <c r="B78" s="290"/>
      <c r="C78" s="289"/>
      <c r="D78" s="289"/>
      <c r="E78" s="289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-1.1175870895385742E-8</v>
      </c>
      <c r="D79" s="118">
        <f t="shared" ref="D79:E79" si="12">+D68+D77</f>
        <v>0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5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5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5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5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5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5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5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5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5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5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5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5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5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5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5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5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5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5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25" right="0.25" top="0.75" bottom="0.75" header="0.3" footer="0.3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opLeftCell="A5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299" t="s">
        <v>5115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0" t="s">
        <v>236</v>
      </c>
      <c r="C4" s="301"/>
      <c r="D4" s="302" t="s">
        <v>1711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4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0" t="s">
        <v>236</v>
      </c>
      <c r="C15" s="301"/>
      <c r="D15" s="302" t="s">
        <v>1782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4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0" t="s">
        <v>236</v>
      </c>
      <c r="C26" s="301"/>
      <c r="D26" s="302" t="s">
        <v>3026</v>
      </c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4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846" activePane="bottomRight" state="frozen"/>
      <selection pane="topRight" activeCell="B1" sqref="B1"/>
      <selection pane="bottomLeft" activeCell="A3" sqref="A3"/>
      <selection pane="bottomRight" activeCell="B870" sqref="B870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B1:B1116" xr:uid="{00000000-0001-0000-0B00-000000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5" t="s">
        <v>3542</v>
      </c>
      <c r="B1" s="305"/>
      <c r="C1" s="305"/>
      <c r="D1" s="305"/>
      <c r="E1" s="305"/>
      <c r="F1" s="305"/>
      <c r="G1" s="305"/>
      <c r="H1" s="30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6" t="s">
        <v>5080</v>
      </c>
      <c r="B615" s="306"/>
      <c r="C615" s="306"/>
      <c r="D615" s="306"/>
      <c r="E615" s="306"/>
      <c r="F615" s="306"/>
      <c r="G615" s="306"/>
      <c r="H615" s="30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17" sqref="H1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7" t="s">
        <v>5271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08006</v>
      </c>
      <c r="B3" s="81" t="str">
        <f>IF(E3="","",VLOOKUP('OPĆI DIO'!$C$3,'OPĆI DIO'!$L$6:$U$138,9,FALSE))</f>
        <v>Sveučilišta i veleučilišta u Republici Hrvatskoj</v>
      </c>
      <c r="C3" s="124">
        <f t="shared" ref="C3:C66" si="0">IFERROR(VLOOKUP(E3,$R$6:$U$108,3,FALSE),"")</f>
        <v>51</v>
      </c>
      <c r="D3" s="80" t="str">
        <f t="shared" ref="D3:D66" si="1">IFERROR(VLOOKUP(E3,$R$6:$U$108,4,FALSE),"")</f>
        <v xml:space="preserve">Pomoći EU </v>
      </c>
      <c r="E3" s="89">
        <v>632311700</v>
      </c>
      <c r="F3" s="128" t="str">
        <f t="shared" ref="F3:F66" si="2">IFERROR(VLOOKUP(E3,$R$6:$U$108,2,FALSE),"")</f>
        <v>Tekuće pomoći od institucija i tijela EU - ostalo</v>
      </c>
      <c r="G3" s="122">
        <v>252399</v>
      </c>
      <c r="H3" s="122"/>
      <c r="I3" s="122"/>
      <c r="J3" s="89"/>
      <c r="L3" t="str">
        <f>LEFT(E3,2)</f>
        <v>63</v>
      </c>
      <c r="M3" t="str">
        <f>LEFT(E3,3)</f>
        <v>632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08006</v>
      </c>
      <c r="B4" s="81" t="str">
        <f>IF(E4="","",VLOOKUP('OPĆI DIO'!$C$3,'OPĆI DIO'!$L$6:$U$138,9,FALSE))</f>
        <v>Sveučilišta i veleučilišta u Republici Hrvatskoj</v>
      </c>
      <c r="C4" s="124">
        <f t="shared" si="0"/>
        <v>52</v>
      </c>
      <c r="D4" s="80" t="str">
        <f t="shared" si="1"/>
        <v xml:space="preserve">Ostale pomoći i darovnice </v>
      </c>
      <c r="E4" s="89">
        <v>6361</v>
      </c>
      <c r="F4" s="128" t="str">
        <f t="shared" si="2"/>
        <v>Tekuće pomoći proračunskim korisnicima iz proračuna JLP(R)S koji im nije nadležan</v>
      </c>
      <c r="G4" s="122">
        <v>1752605</v>
      </c>
      <c r="H4" s="122">
        <v>3019444</v>
      </c>
      <c r="I4" s="122">
        <v>3013471</v>
      </c>
      <c r="J4" s="89"/>
      <c r="L4" t="str">
        <f t="shared" ref="L4:L67" si="3">LEFT(E4,2)</f>
        <v>63</v>
      </c>
      <c r="M4" t="str">
        <f t="shared" ref="M4:M67" si="4">LEFT(E4,3)</f>
        <v>636</v>
      </c>
    </row>
    <row r="5" spans="1:23">
      <c r="A5" s="81" t="str">
        <f>IF(E5="","",VLOOKUP('OPĆI DIO'!$C$3,'OPĆI DIO'!$L$6:$U$138,10,FALSE))</f>
        <v>08006</v>
      </c>
      <c r="B5" s="81" t="str">
        <f>IF(E5="","",VLOOKUP('OPĆI DIO'!$C$3,'OPĆI DIO'!$L$6:$U$138,9,FALSE))</f>
        <v>Sveučilišta i veleučilišta u Republici Hrvatskoj</v>
      </c>
      <c r="C5" s="124">
        <f t="shared" si="0"/>
        <v>52</v>
      </c>
      <c r="D5" s="80" t="str">
        <f t="shared" si="1"/>
        <v xml:space="preserve">Ostale pomoći i darovnice </v>
      </c>
      <c r="E5" s="89">
        <v>6391</v>
      </c>
      <c r="F5" s="128" t="str">
        <f t="shared" si="2"/>
        <v>Tekući prijenosi između proračunskih korisnika istog proračuna</v>
      </c>
      <c r="G5" s="122">
        <v>80663</v>
      </c>
      <c r="H5" s="122">
        <v>64013</v>
      </c>
      <c r="I5" s="122">
        <v>16221</v>
      </c>
      <c r="J5" s="89" t="s">
        <v>5282</v>
      </c>
      <c r="L5" t="str">
        <f t="shared" si="3"/>
        <v>63</v>
      </c>
      <c r="M5" t="str">
        <f t="shared" si="4"/>
        <v>639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08006</v>
      </c>
      <c r="B6" s="81" t="str">
        <f>IF(E6="","",VLOOKUP('OPĆI DIO'!$C$3,'OPĆI DIO'!$L$6:$U$138,9,FALSE))</f>
        <v>Sveučilišta i veleučilišta u Republici Hrvatskoj</v>
      </c>
      <c r="C6" s="124">
        <f t="shared" si="0"/>
        <v>43</v>
      </c>
      <c r="D6" s="80" t="str">
        <f t="shared" si="1"/>
        <v>Ostali prihodi za posebne namjene</v>
      </c>
      <c r="E6" s="89">
        <v>65264</v>
      </c>
      <c r="F6" s="128" t="str">
        <f t="shared" si="2"/>
        <v>Sufinanciranje cijene usluge, participacije i slično</v>
      </c>
      <c r="G6" s="122">
        <v>1397571</v>
      </c>
      <c r="H6" s="122">
        <v>1450660</v>
      </c>
      <c r="I6" s="122">
        <v>1397571</v>
      </c>
      <c r="J6" s="89"/>
      <c r="L6" t="str">
        <f t="shared" si="3"/>
        <v>65</v>
      </c>
      <c r="M6" t="str">
        <f t="shared" si="4"/>
        <v>652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08006</v>
      </c>
      <c r="B7" s="81" t="str">
        <f>IF(E7="","",VLOOKUP('OPĆI DIO'!$C$3,'OPĆI DIO'!$L$6:$U$138,9,FALSE))</f>
        <v>Sveučilišta i veleučilišta u Republici Hrvatskoj</v>
      </c>
      <c r="C7" s="124">
        <f t="shared" si="0"/>
        <v>31</v>
      </c>
      <c r="D7" s="80" t="str">
        <f t="shared" si="1"/>
        <v>Vlastiti prihodi</v>
      </c>
      <c r="E7" s="89">
        <v>6614</v>
      </c>
      <c r="F7" s="128" t="str">
        <f t="shared" si="2"/>
        <v>Prihodi od prodanih proizvoda i robe</v>
      </c>
      <c r="G7" s="122">
        <v>6636</v>
      </c>
      <c r="H7" s="122">
        <v>6636</v>
      </c>
      <c r="I7" s="122">
        <v>6636</v>
      </c>
      <c r="J7" s="89"/>
      <c r="L7" t="str">
        <f t="shared" si="3"/>
        <v>66</v>
      </c>
      <c r="M7" t="str">
        <f t="shared" si="4"/>
        <v>661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08006</v>
      </c>
      <c r="B8" s="81" t="str">
        <f>IF(E8="","",VLOOKUP('OPĆI DIO'!$C$3,'OPĆI DIO'!$L$6:$U$138,9,FALSE))</f>
        <v>Sveučilišta i veleučilišta u Republici Hrvatskoj</v>
      </c>
      <c r="C8" s="124">
        <f t="shared" si="0"/>
        <v>31</v>
      </c>
      <c r="D8" s="80" t="str">
        <f t="shared" si="1"/>
        <v>Vlastiti prihodi</v>
      </c>
      <c r="E8" s="89">
        <v>6615</v>
      </c>
      <c r="F8" s="128" t="str">
        <f t="shared" si="2"/>
        <v>Prihodi od pruženih usluga</v>
      </c>
      <c r="G8" s="122">
        <v>189343</v>
      </c>
      <c r="H8" s="122">
        <v>220931</v>
      </c>
      <c r="I8" s="122">
        <v>189343</v>
      </c>
      <c r="J8" s="89"/>
      <c r="L8" t="str">
        <f t="shared" si="3"/>
        <v>66</v>
      </c>
      <c r="M8" t="str">
        <f t="shared" si="4"/>
        <v>661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08006</v>
      </c>
      <c r="B9" s="81" t="str">
        <f>IF(E9="","",VLOOKUP('OPĆI DIO'!$C$3,'OPĆI DIO'!$L$6:$U$138,9,FALSE))</f>
        <v>Sveučilišta i veleučilišta u Republici Hrvatskoj</v>
      </c>
      <c r="C9" s="124">
        <f t="shared" si="0"/>
        <v>61</v>
      </c>
      <c r="D9" s="80" t="str">
        <f t="shared" si="1"/>
        <v xml:space="preserve">Donacije </v>
      </c>
      <c r="E9" s="89">
        <v>663140000</v>
      </c>
      <c r="F9" s="128" t="str">
        <f t="shared" si="2"/>
        <v>Tekuće donacije od ostalih subjekata izvan općeg proračuna</v>
      </c>
      <c r="G9" s="122">
        <v>131901</v>
      </c>
      <c r="H9" s="122"/>
      <c r="I9" s="122"/>
      <c r="J9" s="89"/>
      <c r="L9" t="str">
        <f t="shared" si="3"/>
        <v>66</v>
      </c>
      <c r="M9" t="str">
        <f t="shared" si="4"/>
        <v>663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>08006</v>
      </c>
      <c r="B10" s="81" t="str">
        <f>IF(E10="","",VLOOKUP('OPĆI DIO'!$C$3,'OPĆI DIO'!$L$6:$U$138,9,FALSE))</f>
        <v>Sveučilišta i veleučilišta u Republici Hrvatskoj</v>
      </c>
      <c r="C10" s="124">
        <f t="shared" si="0"/>
        <v>11</v>
      </c>
      <c r="D10" s="80" t="str">
        <f t="shared" si="1"/>
        <v>Opći prihodi i primici</v>
      </c>
      <c r="E10" s="89" t="s">
        <v>650</v>
      </c>
      <c r="F10" s="128" t="str">
        <f t="shared" si="2"/>
        <v>Prihodi iz nadležnog proračuna za financiranje redovne djelatnosti proračunskih korisnika</v>
      </c>
      <c r="G10" s="122">
        <v>4229463</v>
      </c>
      <c r="H10" s="122">
        <v>4247819</v>
      </c>
      <c r="I10" s="122">
        <v>4266269</v>
      </c>
      <c r="J10" s="89"/>
      <c r="L10" t="str">
        <f t="shared" si="3"/>
        <v>67</v>
      </c>
      <c r="M10" t="str">
        <f t="shared" si="4"/>
        <v>671</v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>08006</v>
      </c>
      <c r="B11" s="81" t="str">
        <f>IF(E11="","",VLOOKUP('OPĆI DIO'!$C$3,'OPĆI DIO'!$L$6:$U$138,9,FALSE))</f>
        <v>Sveučilišta i veleučilišta u Republici Hrvatskoj</v>
      </c>
      <c r="C11" s="124">
        <f t="shared" si="0"/>
        <v>71</v>
      </c>
      <c r="D11" s="80" t="str">
        <f t="shared" si="1"/>
        <v>Prihodi od prodaje ili zamjene nefinancijske imovine i naknade s naslova osiguranja</v>
      </c>
      <c r="E11" s="89">
        <v>721110071</v>
      </c>
      <c r="F11" s="128" t="str">
        <f t="shared" si="2"/>
        <v>Stambeni objekti za zaposlene izvor 71</v>
      </c>
      <c r="G11" s="122">
        <v>1327</v>
      </c>
      <c r="H11" s="122">
        <v>1327</v>
      </c>
      <c r="I11" s="122">
        <v>1327</v>
      </c>
      <c r="J11" s="89"/>
      <c r="L11" t="str">
        <f t="shared" si="3"/>
        <v>72</v>
      </c>
      <c r="M11" t="str">
        <f t="shared" si="4"/>
        <v>721</v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1327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" activePane="bottomLeft" state="frozen"/>
      <selection pane="bottomLeft" activeCell="G8" sqref="G8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7" t="s">
        <v>5272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08006</v>
      </c>
      <c r="B3" s="85" t="str">
        <f>IF(C3="","",VLOOKUP('OPĆI DIO'!$C$3,'OPĆI DIO'!$L$6:$U$138,9,FALSE))</f>
        <v>Sveučilišta i veleučilišta u Republici Hrvatskoj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48</v>
      </c>
      <c r="H3" s="85" t="str">
        <f>IFERROR(VLOOKUP(G3,$AB$6:$AC$327,2,FALSE),"")</f>
        <v>REDOVNA DJELATNOST SVEUČILIŠTA U ZAGREBU</v>
      </c>
      <c r="I3" s="85" t="str">
        <f>IFERROR(VLOOKUP(G3,$AB$6:$AF$327,3,FALSE),"")</f>
        <v>0942</v>
      </c>
      <c r="J3" s="122">
        <f>2663065+113999+387747</f>
        <v>3164811</v>
      </c>
      <c r="K3" s="122">
        <f>2663065+113999+403503</f>
        <v>3180567</v>
      </c>
      <c r="L3" s="122">
        <f>2663065+113999+419340</f>
        <v>3196404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94</v>
      </c>
    </row>
    <row r="4" spans="1:33">
      <c r="A4" s="85" t="str">
        <f>IF(C4="","",VLOOKUP('OPĆI DIO'!$C$3,'OPĆI DIO'!$L$6:$U$138,10,FALSE))</f>
        <v>08006</v>
      </c>
      <c r="B4" s="85" t="str">
        <f>IF(C4="","",VLOOKUP('OPĆI DIO'!$C$3,'OPĆI DIO'!$L$6:$U$138,9,FALSE))</f>
        <v>Sveučilišta i veleučilišta u Republici Hrvatskoj</v>
      </c>
      <c r="C4" s="90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48</v>
      </c>
      <c r="H4" s="85" t="str">
        <f t="shared" ref="H4:H67" si="3">IFERROR(VLOOKUP(G4,$AB$6:$AC$327,2,FALSE),"")</f>
        <v>REDOVNA DJELATNOST SVEUČILIŠTA U ZAGREBU</v>
      </c>
      <c r="I4" s="85" t="str">
        <f t="shared" ref="I4:I67" si="4">IFERROR(VLOOKUP(G4,$AB$6:$AF$327,3,FALSE),"")</f>
        <v>0942</v>
      </c>
      <c r="J4" s="122">
        <f>116039+63978</f>
        <v>180017</v>
      </c>
      <c r="K4" s="122">
        <f>116039+66578</f>
        <v>182617</v>
      </c>
      <c r="L4" s="122">
        <f>116039+69191</f>
        <v>185230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94</v>
      </c>
      <c r="V4" s="86"/>
      <c r="W4" s="86"/>
    </row>
    <row r="5" spans="1:33">
      <c r="A5" s="85" t="str">
        <f>IF(C5="","",VLOOKUP('OPĆI DIO'!$C$3,'OPĆI DIO'!$L$6:$U$138,10,FALSE))</f>
        <v>08006</v>
      </c>
      <c r="B5" s="85" t="str">
        <f>IF(C5="","",VLOOKUP('OPĆI DIO'!$C$3,'OPĆI DIO'!$L$6:$U$138,9,FALSE))</f>
        <v>Sveučilišta i veleučilišta u Republici Hrvatskoj</v>
      </c>
      <c r="C5" s="90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48</v>
      </c>
      <c r="H5" s="85" t="str">
        <f t="shared" si="3"/>
        <v>REDOVNA DJELATNOST SVEUČILIŠTA U ZAGREBU</v>
      </c>
      <c r="I5" s="85" t="str">
        <f t="shared" si="4"/>
        <v>0942</v>
      </c>
      <c r="J5" s="122">
        <f>439406+18809</f>
        <v>458215</v>
      </c>
      <c r="K5" s="122">
        <f>439406+18809</f>
        <v>458215</v>
      </c>
      <c r="L5" s="122">
        <f>439406+18809</f>
        <v>458215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94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08006</v>
      </c>
      <c r="B6" s="85" t="str">
        <f>IF(C6="","",VLOOKUP('OPĆI DIO'!$C$3,'OPĆI DIO'!$L$6:$U$138,9,FALSE))</f>
        <v>Sveučilišta i veleučilišta u Republici Hrvatskoj</v>
      </c>
      <c r="C6" s="90">
        <v>11</v>
      </c>
      <c r="D6" s="85" t="str">
        <f t="shared" si="1"/>
        <v>Opći prihodi i primici</v>
      </c>
      <c r="E6" s="90">
        <v>3236</v>
      </c>
      <c r="F6" s="85" t="str">
        <f t="shared" si="2"/>
        <v>Zdravstvene i veterinarske usluge</v>
      </c>
      <c r="G6" s="123" t="s">
        <v>48</v>
      </c>
      <c r="H6" s="85" t="str">
        <f t="shared" si="3"/>
        <v>REDOVNA DJELATNOST SVEUČILIŠTA U ZAGREBU</v>
      </c>
      <c r="I6" s="85" t="str">
        <f t="shared" si="4"/>
        <v>0942</v>
      </c>
      <c r="J6" s="122">
        <v>3213</v>
      </c>
      <c r="K6" s="122">
        <v>3213</v>
      </c>
      <c r="L6" s="122">
        <v>3213</v>
      </c>
      <c r="M6" s="89"/>
      <c r="O6" t="str">
        <f t="shared" si="5"/>
        <v>323</v>
      </c>
      <c r="P6" t="str">
        <f t="shared" si="6"/>
        <v>32</v>
      </c>
      <c r="Q6" t="str">
        <f t="shared" si="7"/>
        <v>11</v>
      </c>
      <c r="R6" t="str">
        <f t="shared" si="8"/>
        <v>94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08006</v>
      </c>
      <c r="B7" s="85" t="str">
        <f>IF(C7="","",VLOOKUP('OPĆI DIO'!$C$3,'OPĆI DIO'!$L$6:$U$138,9,FALSE))</f>
        <v>Sveučilišta i veleučilišta u Republici Hrvatskoj</v>
      </c>
      <c r="C7" s="90">
        <v>11</v>
      </c>
      <c r="D7" s="85" t="str">
        <f t="shared" si="1"/>
        <v>Opći prihodi i primici</v>
      </c>
      <c r="E7" s="90">
        <v>3295</v>
      </c>
      <c r="F7" s="85" t="str">
        <f t="shared" si="2"/>
        <v>Pristojbe i naknade</v>
      </c>
      <c r="G7" s="123" t="s">
        <v>48</v>
      </c>
      <c r="H7" s="85" t="str">
        <f t="shared" si="3"/>
        <v>REDOVNA DJELATNOST SVEUČILIŠTA U ZAGREBU</v>
      </c>
      <c r="I7" s="85" t="str">
        <f t="shared" si="4"/>
        <v>0942</v>
      </c>
      <c r="J7" s="122">
        <v>4479</v>
      </c>
      <c r="K7" s="122">
        <v>4479</v>
      </c>
      <c r="L7" s="122">
        <v>4479</v>
      </c>
      <c r="M7" s="89"/>
      <c r="O7" t="str">
        <f t="shared" si="5"/>
        <v>329</v>
      </c>
      <c r="P7" t="str">
        <f t="shared" si="6"/>
        <v>32</v>
      </c>
      <c r="Q7" t="str">
        <f t="shared" si="7"/>
        <v>11</v>
      </c>
      <c r="R7" t="str">
        <f t="shared" si="8"/>
        <v>94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08006</v>
      </c>
      <c r="B8" s="85" t="str">
        <f>IF(C8="","",VLOOKUP('OPĆI DIO'!$C$3,'OPĆI DIO'!$L$6:$U$138,9,FALSE))</f>
        <v>Sveučilišta i veleučilišta u Republici Hrvatskoj</v>
      </c>
      <c r="C8" s="90">
        <v>11</v>
      </c>
      <c r="D8" s="85" t="str">
        <f t="shared" si="1"/>
        <v>Opći prihodi i primici</v>
      </c>
      <c r="E8" s="90">
        <v>3231</v>
      </c>
      <c r="F8" s="85" t="str">
        <f t="shared" si="2"/>
        <v>Usluge telefona, pošte i prijevoza</v>
      </c>
      <c r="G8" s="123" t="s">
        <v>48</v>
      </c>
      <c r="H8" s="85" t="str">
        <f t="shared" si="3"/>
        <v>REDOVNA DJELATNOST SVEUČILIŠTA U ZAGREBU</v>
      </c>
      <c r="I8" s="85" t="str">
        <f t="shared" si="4"/>
        <v>0942</v>
      </c>
      <c r="J8" s="122">
        <v>3982</v>
      </c>
      <c r="K8" s="122">
        <v>3982</v>
      </c>
      <c r="L8" s="122">
        <v>3982</v>
      </c>
      <c r="M8" s="89"/>
      <c r="O8" t="str">
        <f t="shared" si="5"/>
        <v>323</v>
      </c>
      <c r="P8" t="str">
        <f t="shared" si="6"/>
        <v>32</v>
      </c>
      <c r="Q8" t="str">
        <f t="shared" si="7"/>
        <v>11</v>
      </c>
      <c r="R8" t="str">
        <f t="shared" si="8"/>
        <v>94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08006</v>
      </c>
      <c r="B9" s="85" t="str">
        <f>IF(C9="","",VLOOKUP('OPĆI DIO'!$C$3,'OPĆI DIO'!$L$6:$U$138,9,FALSE))</f>
        <v>Sveučilišta i veleučilišta u Republici Hrvatskoj</v>
      </c>
      <c r="C9" s="90">
        <v>11</v>
      </c>
      <c r="D9" s="85" t="str">
        <f t="shared" si="1"/>
        <v>Opći prihodi i primici</v>
      </c>
      <c r="E9" s="90">
        <v>3212</v>
      </c>
      <c r="F9" s="85" t="str">
        <f t="shared" si="2"/>
        <v>Naknade za prijevoz, za rad na terenu i odvojeni život</v>
      </c>
      <c r="G9" s="123" t="s">
        <v>48</v>
      </c>
      <c r="H9" s="85" t="str">
        <f t="shared" si="3"/>
        <v>REDOVNA DJELATNOST SVEUČILIŠTA U ZAGREBU</v>
      </c>
      <c r="I9" s="85" t="str">
        <f t="shared" si="4"/>
        <v>0942</v>
      </c>
      <c r="J9" s="122">
        <f>47513+2442</f>
        <v>49955</v>
      </c>
      <c r="K9" s="122">
        <f>47513+2442</f>
        <v>49955</v>
      </c>
      <c r="L9" s="122">
        <f>47513+2442</f>
        <v>49955</v>
      </c>
      <c r="M9" s="89"/>
      <c r="O9" t="str">
        <f t="shared" si="5"/>
        <v>321</v>
      </c>
      <c r="P9" t="str">
        <f t="shared" si="6"/>
        <v>32</v>
      </c>
      <c r="Q9" t="str">
        <f t="shared" si="7"/>
        <v>11</v>
      </c>
      <c r="R9" t="str">
        <f t="shared" si="8"/>
        <v>94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08006</v>
      </c>
      <c r="B10" s="85" t="str">
        <f>IF(C10="","",VLOOKUP('OPĆI DIO'!$C$3,'OPĆI DIO'!$L$6:$U$138,9,FALSE))</f>
        <v>Sveučilišta i veleučilišta u Republici Hrvatskoj</v>
      </c>
      <c r="C10" s="90">
        <v>11</v>
      </c>
      <c r="D10" s="85" t="str">
        <f t="shared" si="1"/>
        <v>Opći prihodi i primici</v>
      </c>
      <c r="E10" s="90">
        <v>3211</v>
      </c>
      <c r="F10" s="85" t="str">
        <f t="shared" si="2"/>
        <v>Službena putovanja</v>
      </c>
      <c r="G10" s="123" t="s">
        <v>673</v>
      </c>
      <c r="H10" s="85" t="str">
        <f t="shared" si="3"/>
        <v>PROGRAMSKO FINANCIRANJE JAVNIH VISOKIH UČILIŠTA</v>
      </c>
      <c r="I10" s="85" t="str">
        <f t="shared" si="4"/>
        <v>0942</v>
      </c>
      <c r="J10" s="122">
        <f>18847</f>
        <v>18847</v>
      </c>
      <c r="K10" s="122">
        <v>18847</v>
      </c>
      <c r="L10" s="122">
        <v>18847</v>
      </c>
      <c r="M10" s="89"/>
      <c r="O10" t="str">
        <f t="shared" si="5"/>
        <v>321</v>
      </c>
      <c r="P10" t="str">
        <f t="shared" si="6"/>
        <v>32</v>
      </c>
      <c r="Q10" t="str">
        <f t="shared" si="7"/>
        <v>11</v>
      </c>
      <c r="R10" t="str">
        <f t="shared" si="8"/>
        <v>94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08006</v>
      </c>
      <c r="B11" s="85" t="str">
        <f>IF(C11="","",VLOOKUP('OPĆI DIO'!$C$3,'OPĆI DIO'!$L$6:$U$138,9,FALSE))</f>
        <v>Sveučilišta i veleučilišta u Republici Hrvatskoj</v>
      </c>
      <c r="C11" s="90">
        <v>11</v>
      </c>
      <c r="D11" s="85" t="str">
        <f t="shared" si="1"/>
        <v>Opći prihodi i primici</v>
      </c>
      <c r="E11" s="90">
        <v>3221</v>
      </c>
      <c r="F11" s="85" t="str">
        <f t="shared" si="2"/>
        <v>Uredski materijal i ostali materijalni rashodi</v>
      </c>
      <c r="G11" s="123" t="s">
        <v>673</v>
      </c>
      <c r="H11" s="85" t="str">
        <f t="shared" si="3"/>
        <v>PROGRAMSKO FINANCIRANJE JAVNIH VISOKIH UČILIŠTA</v>
      </c>
      <c r="I11" s="85" t="str">
        <f t="shared" si="4"/>
        <v>0942</v>
      </c>
      <c r="J11" s="122">
        <v>1659</v>
      </c>
      <c r="K11" s="122">
        <v>1659</v>
      </c>
      <c r="L11" s="122">
        <v>1659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94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08006</v>
      </c>
      <c r="B12" s="85" t="str">
        <f>IF(C12="","",VLOOKUP('OPĆI DIO'!$C$3,'OPĆI DIO'!$L$6:$U$138,9,FALSE))</f>
        <v>Sveučilišta i veleučilišta u Republici Hrvatskoj</v>
      </c>
      <c r="C12" s="90">
        <v>11</v>
      </c>
      <c r="D12" s="85" t="str">
        <f t="shared" si="1"/>
        <v>Opći prihodi i primici</v>
      </c>
      <c r="E12" s="90">
        <v>3223</v>
      </c>
      <c r="F12" s="85" t="str">
        <f t="shared" si="2"/>
        <v>Energija</v>
      </c>
      <c r="G12" s="123" t="s">
        <v>673</v>
      </c>
      <c r="H12" s="85" t="str">
        <f t="shared" si="3"/>
        <v>PROGRAMSKO FINANCIRANJE JAVNIH VISOKIH UČILIŠTA</v>
      </c>
      <c r="I12" s="85" t="str">
        <f t="shared" si="4"/>
        <v>0942</v>
      </c>
      <c r="J12" s="122">
        <v>41874</v>
      </c>
      <c r="K12" s="122">
        <v>41874</v>
      </c>
      <c r="L12" s="122">
        <v>41874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94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08006</v>
      </c>
      <c r="B13" s="85" t="str">
        <f>IF(C13="","",VLOOKUP('OPĆI DIO'!$C$3,'OPĆI DIO'!$L$6:$U$138,9,FALSE))</f>
        <v>Sveučilišta i veleučilišta u Republici Hrvatskoj</v>
      </c>
      <c r="C13" s="90">
        <v>11</v>
      </c>
      <c r="D13" s="85" t="str">
        <f t="shared" si="1"/>
        <v>Opći prihodi i primici</v>
      </c>
      <c r="E13" s="90">
        <v>3235</v>
      </c>
      <c r="F13" s="85" t="str">
        <f t="shared" si="2"/>
        <v>Zakupnine i najamnine</v>
      </c>
      <c r="G13" s="123" t="s">
        <v>673</v>
      </c>
      <c r="H13" s="85" t="str">
        <f t="shared" si="3"/>
        <v>PROGRAMSKO FINANCIRANJE JAVNIH VISOKIH UČILIŠTA</v>
      </c>
      <c r="I13" s="85" t="str">
        <f t="shared" si="4"/>
        <v>0942</v>
      </c>
      <c r="J13" s="122">
        <v>28934</v>
      </c>
      <c r="K13" s="122">
        <v>28934</v>
      </c>
      <c r="L13" s="122">
        <v>28934</v>
      </c>
      <c r="M13" s="89"/>
      <c r="O13" t="str">
        <f t="shared" si="5"/>
        <v>323</v>
      </c>
      <c r="P13" t="str">
        <f t="shared" si="6"/>
        <v>32</v>
      </c>
      <c r="Q13" t="str">
        <f t="shared" si="7"/>
        <v>11</v>
      </c>
      <c r="R13" t="str">
        <f t="shared" si="8"/>
        <v>94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08006</v>
      </c>
      <c r="B14" s="85" t="str">
        <f>IF(C14="","",VLOOKUP('OPĆI DIO'!$C$3,'OPĆI DIO'!$L$6:$U$138,9,FALSE))</f>
        <v>Sveučilišta i veleučilišta u Republici Hrvatskoj</v>
      </c>
      <c r="C14" s="90">
        <v>11</v>
      </c>
      <c r="D14" s="85" t="str">
        <f t="shared" si="1"/>
        <v>Opći prihodi i primici</v>
      </c>
      <c r="E14" s="90">
        <v>3237</v>
      </c>
      <c r="F14" s="85" t="str">
        <f t="shared" si="2"/>
        <v>Intelektualne i osobne usluge</v>
      </c>
      <c r="G14" s="123" t="s">
        <v>673</v>
      </c>
      <c r="H14" s="85" t="str">
        <f t="shared" si="3"/>
        <v>PROGRAMSKO FINANCIRANJE JAVNIH VISOKIH UČILIŠTA</v>
      </c>
      <c r="I14" s="85" t="str">
        <f t="shared" si="4"/>
        <v>0942</v>
      </c>
      <c r="J14" s="122">
        <f>131442-11461</f>
        <v>119981</v>
      </c>
      <c r="K14" s="122">
        <f>131442-11461</f>
        <v>119981</v>
      </c>
      <c r="L14" s="122">
        <f>131442-11461</f>
        <v>119981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94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08006</v>
      </c>
      <c r="B15" s="85" t="str">
        <f>IF(C15="","",VLOOKUP('OPĆI DIO'!$C$3,'OPĆI DIO'!$L$6:$U$138,9,FALSE))</f>
        <v>Sveučilišta i veleučilišta u Republici Hrvatskoj</v>
      </c>
      <c r="C15" s="90">
        <v>11</v>
      </c>
      <c r="D15" s="85" t="str">
        <f t="shared" si="1"/>
        <v>Opći prihodi i primici</v>
      </c>
      <c r="E15" s="90">
        <v>3241</v>
      </c>
      <c r="F15" s="85" t="str">
        <f t="shared" si="2"/>
        <v>Naknade troškova osobama izvan radnog odnosa</v>
      </c>
      <c r="G15" s="123" t="s">
        <v>673</v>
      </c>
      <c r="H15" s="85" t="str">
        <f t="shared" si="3"/>
        <v>PROGRAMSKO FINANCIRANJE JAVNIH VISOKIH UČILIŠTA</v>
      </c>
      <c r="I15" s="85" t="str">
        <f t="shared" si="4"/>
        <v>0942</v>
      </c>
      <c r="J15" s="122">
        <v>17254</v>
      </c>
      <c r="K15" s="122">
        <v>17254</v>
      </c>
      <c r="L15" s="122">
        <v>17254</v>
      </c>
      <c r="M15" s="89"/>
      <c r="O15" t="str">
        <f t="shared" si="5"/>
        <v>324</v>
      </c>
      <c r="P15" t="str">
        <f t="shared" si="6"/>
        <v>32</v>
      </c>
      <c r="Q15" t="str">
        <f t="shared" si="7"/>
        <v>11</v>
      </c>
      <c r="R15" t="str">
        <f t="shared" si="8"/>
        <v>94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08006</v>
      </c>
      <c r="B16" s="85" t="str">
        <f>IF(C16="","",VLOOKUP('OPĆI DIO'!$C$3,'OPĆI DIO'!$L$6:$U$138,9,FALSE))</f>
        <v>Sveučilišta i veleučilišta u Republici Hrvatskoj</v>
      </c>
      <c r="C16" s="90">
        <v>11</v>
      </c>
      <c r="D16" s="85" t="str">
        <f t="shared" si="1"/>
        <v>Opći prihodi i primici</v>
      </c>
      <c r="E16" s="90">
        <v>3293</v>
      </c>
      <c r="F16" s="85" t="str">
        <f t="shared" si="2"/>
        <v>Reprezentacija</v>
      </c>
      <c r="G16" s="123" t="s">
        <v>673</v>
      </c>
      <c r="H16" s="85" t="str">
        <f t="shared" si="3"/>
        <v>PROGRAMSKO FINANCIRANJE JAVNIH VISOKIH UČILIŠTA</v>
      </c>
      <c r="I16" s="85" t="str">
        <f t="shared" si="4"/>
        <v>0942</v>
      </c>
      <c r="J16" s="122">
        <v>796</v>
      </c>
      <c r="K16" s="122">
        <v>796</v>
      </c>
      <c r="L16" s="122">
        <v>796</v>
      </c>
      <c r="M16" s="89"/>
      <c r="O16" t="str">
        <f t="shared" si="5"/>
        <v>329</v>
      </c>
      <c r="P16" t="str">
        <f t="shared" si="6"/>
        <v>32</v>
      </c>
      <c r="Q16" t="str">
        <f t="shared" si="7"/>
        <v>11</v>
      </c>
      <c r="R16" t="str">
        <f t="shared" si="8"/>
        <v>94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08006</v>
      </c>
      <c r="B17" s="85" t="str">
        <f>IF(C17="","",VLOOKUP('OPĆI DIO'!$C$3,'OPĆI DIO'!$L$6:$U$138,9,FALSE))</f>
        <v>Sveučilišta i veleučilišta u Republici Hrvatskoj</v>
      </c>
      <c r="C17" s="90">
        <v>11</v>
      </c>
      <c r="D17" s="85" t="str">
        <f t="shared" si="1"/>
        <v>Opći prihodi i primici</v>
      </c>
      <c r="E17" s="90">
        <v>4224</v>
      </c>
      <c r="F17" s="85" t="str">
        <f t="shared" si="2"/>
        <v>Medicinska i laboratorijska oprema</v>
      </c>
      <c r="G17" s="123" t="s">
        <v>673</v>
      </c>
      <c r="H17" s="85" t="str">
        <f t="shared" si="3"/>
        <v>PROGRAMSKO FINANCIRANJE JAVNIH VISOKIH UČILIŠTA</v>
      </c>
      <c r="I17" s="85" t="str">
        <f t="shared" si="4"/>
        <v>0942</v>
      </c>
      <c r="J17" s="122">
        <f>47780-8976</f>
        <v>38804</v>
      </c>
      <c r="K17" s="122">
        <f>47780-8976</f>
        <v>38804</v>
      </c>
      <c r="L17" s="122">
        <f>47780-8976</f>
        <v>38804</v>
      </c>
      <c r="M17" s="89"/>
      <c r="O17" t="str">
        <f t="shared" si="5"/>
        <v>422</v>
      </c>
      <c r="P17" t="str">
        <f t="shared" si="6"/>
        <v>42</v>
      </c>
      <c r="Q17" t="str">
        <f t="shared" si="7"/>
        <v>11</v>
      </c>
      <c r="R17" t="str">
        <f t="shared" si="8"/>
        <v>94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08006</v>
      </c>
      <c r="B18" s="85" t="str">
        <f>IF(C18="","",VLOOKUP('OPĆI DIO'!$C$3,'OPĆI DIO'!$L$6:$U$138,9,FALSE))</f>
        <v>Sveučilišta i veleučilišta u Republici Hrvatskoj</v>
      </c>
      <c r="C18" s="90">
        <v>11</v>
      </c>
      <c r="D18" s="85" t="str">
        <f t="shared" si="1"/>
        <v>Opći prihodi i primici</v>
      </c>
      <c r="E18" s="90">
        <v>3295</v>
      </c>
      <c r="F18" s="85" t="str">
        <f t="shared" si="2"/>
        <v>Pristojbe i naknade</v>
      </c>
      <c r="G18" s="123" t="s">
        <v>673</v>
      </c>
      <c r="H18" s="85" t="str">
        <f t="shared" si="3"/>
        <v>PROGRAMSKO FINANCIRANJE JAVNIH VISOKIH UČILIŠTA</v>
      </c>
      <c r="I18" s="85" t="str">
        <f t="shared" si="4"/>
        <v>0942</v>
      </c>
      <c r="J18" s="122">
        <f>131972-4479-76561+8976</f>
        <v>59908</v>
      </c>
      <c r="K18" s="122">
        <f>142919-4479-87508+8976</f>
        <v>59908</v>
      </c>
      <c r="L18" s="122">
        <f>142919-4479-84588+8976-2920</f>
        <v>59908</v>
      </c>
      <c r="M18" s="89"/>
      <c r="O18" t="str">
        <f t="shared" si="5"/>
        <v>329</v>
      </c>
      <c r="P18" t="str">
        <f t="shared" si="6"/>
        <v>32</v>
      </c>
      <c r="Q18" t="str">
        <f t="shared" si="7"/>
        <v>11</v>
      </c>
      <c r="R18" t="str">
        <f t="shared" si="8"/>
        <v>94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08006</v>
      </c>
      <c r="B19" s="85" t="str">
        <f>IF(C19="","",VLOOKUP('OPĆI DIO'!$C$3,'OPĆI DIO'!$L$6:$U$138,9,FALSE))</f>
        <v>Sveučilišta i veleučilišta u Republici Hrvatskoj</v>
      </c>
      <c r="C19" s="90">
        <v>11</v>
      </c>
      <c r="D19" s="85" t="str">
        <f t="shared" si="1"/>
        <v>Opći prihodi i primici</v>
      </c>
      <c r="E19" s="90">
        <v>3231</v>
      </c>
      <c r="F19" s="85" t="str">
        <f t="shared" si="2"/>
        <v>Usluge telefona, pošte i prijevoza</v>
      </c>
      <c r="G19" s="123" t="s">
        <v>673</v>
      </c>
      <c r="H19" s="85" t="str">
        <f t="shared" si="3"/>
        <v>PROGRAMSKO FINANCIRANJE JAVNIH VISOKIH UČILIŠTA</v>
      </c>
      <c r="I19" s="85" t="str">
        <f t="shared" si="4"/>
        <v>0942</v>
      </c>
      <c r="J19" s="122">
        <v>2920</v>
      </c>
      <c r="K19" s="122">
        <f>6902-3982</f>
        <v>2920</v>
      </c>
      <c r="L19" s="122">
        <f>6902-3982</f>
        <v>2920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94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08006</v>
      </c>
      <c r="B20" s="85" t="str">
        <f>IF(C20="","",VLOOKUP('OPĆI DIO'!$C$3,'OPĆI DIO'!$L$6:$U$138,9,FALSE))</f>
        <v>Sveučilišta i veleučilišta u Republici Hrvatskoj</v>
      </c>
      <c r="C20" s="90">
        <v>11</v>
      </c>
      <c r="D20" s="85" t="str">
        <f t="shared" si="1"/>
        <v>Opći prihodi i primici</v>
      </c>
      <c r="E20" s="90">
        <v>3237</v>
      </c>
      <c r="F20" s="85" t="str">
        <f t="shared" si="2"/>
        <v>Intelektualne i osobne usluge</v>
      </c>
      <c r="G20" s="123" t="s">
        <v>675</v>
      </c>
      <c r="H20" s="85" t="str">
        <f t="shared" si="3"/>
        <v>PROGRAMI VJEŽBAONICA VISOKIH UČILIŠTA</v>
      </c>
      <c r="I20" s="85" t="str">
        <f t="shared" si="4"/>
        <v>0942</v>
      </c>
      <c r="J20" s="122">
        <v>11461</v>
      </c>
      <c r="K20" s="122">
        <v>11461</v>
      </c>
      <c r="L20" s="122">
        <v>11461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94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08006</v>
      </c>
      <c r="B21" s="85" t="str">
        <f>IF(C21="","",VLOOKUP('OPĆI DIO'!$C$3,'OPĆI DIO'!$L$6:$U$138,9,FALSE))</f>
        <v>Sveučilišta i veleučilišta u Republici Hrvatskoj</v>
      </c>
      <c r="C21" s="90">
        <v>11</v>
      </c>
      <c r="D21" s="85" t="str">
        <f t="shared" si="1"/>
        <v>Opći prihodi i primici</v>
      </c>
      <c r="E21" s="90">
        <v>3831</v>
      </c>
      <c r="F21" s="85" t="str">
        <f t="shared" si="2"/>
        <v>Naknade šteta pravnim i fizičkim osobama</v>
      </c>
      <c r="G21" s="123" t="s">
        <v>1878</v>
      </c>
      <c r="H21" s="85" t="str">
        <f t="shared" si="3"/>
        <v>PRAVOMOĆNE SUDSKE PRESUDE</v>
      </c>
      <c r="I21" s="85" t="str">
        <f t="shared" si="4"/>
        <v>0942</v>
      </c>
      <c r="J21" s="122">
        <f>34375-12022</f>
        <v>22353</v>
      </c>
      <c r="K21" s="122">
        <f>34375-12022</f>
        <v>22353</v>
      </c>
      <c r="L21" s="122">
        <f>34375-12022</f>
        <v>22353</v>
      </c>
      <c r="M21" s="89"/>
      <c r="O21" t="str">
        <f t="shared" si="5"/>
        <v>383</v>
      </c>
      <c r="P21" t="str">
        <f t="shared" si="6"/>
        <v>38</v>
      </c>
      <c r="Q21" t="str">
        <f t="shared" si="7"/>
        <v>11</v>
      </c>
      <c r="R21" t="str">
        <f t="shared" si="8"/>
        <v>94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08006</v>
      </c>
      <c r="B22" s="85" t="str">
        <f>IF(C22="","",VLOOKUP('OPĆI DIO'!$C$3,'OPĆI DIO'!$L$6:$U$138,9,FALSE))</f>
        <v>Sveučilišta i veleučilišta u Republici Hrvatskoj</v>
      </c>
      <c r="C22" s="90">
        <v>31</v>
      </c>
      <c r="D22" s="85" t="str">
        <f t="shared" si="1"/>
        <v>Vlastiti prihodi</v>
      </c>
      <c r="E22" s="90">
        <v>3111</v>
      </c>
      <c r="F22" s="85" t="str">
        <f t="shared" si="2"/>
        <v>Plaće za redovan rad</v>
      </c>
      <c r="G22" s="123" t="s">
        <v>145</v>
      </c>
      <c r="H22" s="85" t="str">
        <f t="shared" si="3"/>
        <v>REDOVNA DJELATNOST SVEUČILIŠTA U ZAGREBU (IZ EVIDENCIJSKIH PRIHODA)</v>
      </c>
      <c r="I22" s="85" t="str">
        <f t="shared" si="4"/>
        <v>0942</v>
      </c>
      <c r="J22" s="122">
        <v>28585</v>
      </c>
      <c r="K22" s="122">
        <v>28585</v>
      </c>
      <c r="L22" s="122">
        <v>28585</v>
      </c>
      <c r="M22" s="89"/>
      <c r="O22" t="str">
        <f t="shared" si="5"/>
        <v>311</v>
      </c>
      <c r="P22" t="str">
        <f t="shared" si="6"/>
        <v>31</v>
      </c>
      <c r="Q22" t="str">
        <f t="shared" si="7"/>
        <v>31</v>
      </c>
      <c r="R22" t="str">
        <f t="shared" si="8"/>
        <v>94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08006</v>
      </c>
      <c r="B23" s="85" t="str">
        <f>IF(C23="","",VLOOKUP('OPĆI DIO'!$C$3,'OPĆI DIO'!$L$6:$U$138,9,FALSE))</f>
        <v>Sveučilišta i veleučilišta u Republici Hrvatskoj</v>
      </c>
      <c r="C23" s="90">
        <v>31</v>
      </c>
      <c r="D23" s="85" t="str">
        <f t="shared" si="1"/>
        <v>Vlastiti prihodi</v>
      </c>
      <c r="E23" s="90">
        <v>3132</v>
      </c>
      <c r="F23" s="85" t="str">
        <f t="shared" si="2"/>
        <v>Doprinosi za obvezno zdravstveno osiguranje</v>
      </c>
      <c r="G23" s="123" t="s">
        <v>145</v>
      </c>
      <c r="H23" s="85" t="str">
        <f t="shared" si="3"/>
        <v>REDOVNA DJELATNOST SVEUČILIŠTA U ZAGREBU (IZ EVIDENCIJSKIH PRIHODA)</v>
      </c>
      <c r="I23" s="85" t="str">
        <f t="shared" si="4"/>
        <v>0942</v>
      </c>
      <c r="J23" s="122">
        <v>4862</v>
      </c>
      <c r="K23" s="122">
        <v>4862</v>
      </c>
      <c r="L23" s="122">
        <v>4862</v>
      </c>
      <c r="M23" s="89"/>
      <c r="O23" t="str">
        <f t="shared" si="5"/>
        <v>313</v>
      </c>
      <c r="P23" t="str">
        <f t="shared" si="6"/>
        <v>31</v>
      </c>
      <c r="Q23" t="str">
        <f t="shared" si="7"/>
        <v>31</v>
      </c>
      <c r="R23" t="str">
        <f t="shared" si="8"/>
        <v>94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08006</v>
      </c>
      <c r="B24" s="85" t="str">
        <f>IF(C24="","",VLOOKUP('OPĆI DIO'!$C$3,'OPĆI DIO'!$L$6:$U$138,9,FALSE))</f>
        <v>Sveučilišta i veleučilišta u Republici Hrvatskoj</v>
      </c>
      <c r="C24" s="90">
        <v>31</v>
      </c>
      <c r="D24" s="85" t="str">
        <f t="shared" si="1"/>
        <v>Vlastiti prihodi</v>
      </c>
      <c r="E24" s="90">
        <v>3211</v>
      </c>
      <c r="F24" s="85" t="str">
        <f t="shared" si="2"/>
        <v>Službena putovanja</v>
      </c>
      <c r="G24" s="123" t="s">
        <v>145</v>
      </c>
      <c r="H24" s="85" t="str">
        <f t="shared" si="3"/>
        <v>REDOVNA DJELATNOST SVEUČILIŠTA U ZAGREBU (IZ EVIDENCIJSKIH PRIHODA)</v>
      </c>
      <c r="I24" s="85" t="str">
        <f t="shared" si="4"/>
        <v>0942</v>
      </c>
      <c r="J24" s="122">
        <v>1858</v>
      </c>
      <c r="K24" s="122">
        <v>1858</v>
      </c>
      <c r="L24" s="122">
        <v>1858</v>
      </c>
      <c r="M24" s="89"/>
      <c r="O24" t="str">
        <f t="shared" si="5"/>
        <v>321</v>
      </c>
      <c r="P24" t="str">
        <f t="shared" si="6"/>
        <v>32</v>
      </c>
      <c r="Q24" t="str">
        <f t="shared" si="7"/>
        <v>31</v>
      </c>
      <c r="R24" t="str">
        <f t="shared" si="8"/>
        <v>94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08006</v>
      </c>
      <c r="B25" s="85" t="str">
        <f>IF(C25="","",VLOOKUP('OPĆI DIO'!$C$3,'OPĆI DIO'!$L$6:$U$138,9,FALSE))</f>
        <v>Sveučilišta i veleučilišta u Republici Hrvatskoj</v>
      </c>
      <c r="C25" s="90">
        <v>31</v>
      </c>
      <c r="D25" s="85" t="str">
        <f t="shared" si="1"/>
        <v>Vlastiti prihodi</v>
      </c>
      <c r="E25" s="90">
        <v>3221</v>
      </c>
      <c r="F25" s="85" t="str">
        <f t="shared" si="2"/>
        <v>Uredski materijal i ostali materijalni rashodi</v>
      </c>
      <c r="G25" s="123" t="s">
        <v>145</v>
      </c>
      <c r="H25" s="85" t="str">
        <f t="shared" si="3"/>
        <v>REDOVNA DJELATNOST SVEUČILIŠTA U ZAGREBU (IZ EVIDENCIJSKIH PRIHODA)</v>
      </c>
      <c r="I25" s="85" t="str">
        <f t="shared" si="4"/>
        <v>0942</v>
      </c>
      <c r="J25" s="122">
        <v>4313</v>
      </c>
      <c r="K25" s="122">
        <v>4313</v>
      </c>
      <c r="L25" s="122">
        <v>4313</v>
      </c>
      <c r="M25" s="89"/>
      <c r="O25" t="str">
        <f t="shared" si="5"/>
        <v>322</v>
      </c>
      <c r="P25" t="str">
        <f t="shared" si="6"/>
        <v>32</v>
      </c>
      <c r="Q25" t="str">
        <f t="shared" si="7"/>
        <v>31</v>
      </c>
      <c r="R25" t="str">
        <f t="shared" si="8"/>
        <v>94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08006</v>
      </c>
      <c r="B26" s="85" t="str">
        <f>IF(C26="","",VLOOKUP('OPĆI DIO'!$C$3,'OPĆI DIO'!$L$6:$U$138,9,FALSE))</f>
        <v>Sveučilišta i veleučilišta u Republici Hrvatskoj</v>
      </c>
      <c r="C26" s="90">
        <v>31</v>
      </c>
      <c r="D26" s="85" t="str">
        <f t="shared" si="1"/>
        <v>Vlastiti prihodi</v>
      </c>
      <c r="E26" s="90">
        <v>3223</v>
      </c>
      <c r="F26" s="85" t="str">
        <f t="shared" si="2"/>
        <v>Energija</v>
      </c>
      <c r="G26" s="123" t="s">
        <v>145</v>
      </c>
      <c r="H26" s="85" t="str">
        <f t="shared" si="3"/>
        <v>REDOVNA DJELATNOST SVEUČILIŠTA U ZAGREBU (IZ EVIDENCIJSKIH PRIHODA)</v>
      </c>
      <c r="I26" s="85" t="str">
        <f t="shared" si="4"/>
        <v>0942</v>
      </c>
      <c r="J26" s="122">
        <v>99622</v>
      </c>
      <c r="K26" s="122">
        <v>99622</v>
      </c>
      <c r="L26" s="122">
        <v>99622</v>
      </c>
      <c r="M26" s="89"/>
      <c r="O26" t="str">
        <f t="shared" si="5"/>
        <v>322</v>
      </c>
      <c r="P26" t="str">
        <f t="shared" si="6"/>
        <v>32</v>
      </c>
      <c r="Q26" t="str">
        <f t="shared" si="7"/>
        <v>31</v>
      </c>
      <c r="R26" t="str">
        <f t="shared" si="8"/>
        <v>94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08006</v>
      </c>
      <c r="B27" s="85" t="str">
        <f>IF(C27="","",VLOOKUP('OPĆI DIO'!$C$3,'OPĆI DIO'!$L$6:$U$138,9,FALSE))</f>
        <v>Sveučilišta i veleučilišta u Republici Hrvatskoj</v>
      </c>
      <c r="C27" s="90">
        <v>31</v>
      </c>
      <c r="D27" s="85" t="str">
        <f t="shared" si="1"/>
        <v>Vlastiti prihodi</v>
      </c>
      <c r="E27" s="90">
        <v>3224</v>
      </c>
      <c r="F27" s="85" t="str">
        <f t="shared" si="2"/>
        <v>Materijal i dijelovi za tekuće i investicijsko održavanje</v>
      </c>
      <c r="G27" s="123" t="s">
        <v>145</v>
      </c>
      <c r="H27" s="85" t="str">
        <f t="shared" si="3"/>
        <v>REDOVNA DJELATNOST SVEUČILIŠTA U ZAGREBU (IZ EVIDENCIJSKIH PRIHODA)</v>
      </c>
      <c r="I27" s="85" t="str">
        <f t="shared" si="4"/>
        <v>0942</v>
      </c>
      <c r="J27" s="122">
        <v>2654</v>
      </c>
      <c r="K27" s="122">
        <v>2654</v>
      </c>
      <c r="L27" s="122">
        <v>2654</v>
      </c>
      <c r="M27" s="89"/>
      <c r="O27" t="str">
        <f t="shared" si="5"/>
        <v>322</v>
      </c>
      <c r="P27" t="str">
        <f t="shared" si="6"/>
        <v>32</v>
      </c>
      <c r="Q27" t="str">
        <f t="shared" si="7"/>
        <v>31</v>
      </c>
      <c r="R27" t="str">
        <f t="shared" si="8"/>
        <v>94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08006</v>
      </c>
      <c r="B28" s="85" t="str">
        <f>IF(C28="","",VLOOKUP('OPĆI DIO'!$C$3,'OPĆI DIO'!$L$6:$U$138,9,FALSE))</f>
        <v>Sveučilišta i veleučilišta u Republici Hrvatskoj</v>
      </c>
      <c r="C28" s="90">
        <v>31</v>
      </c>
      <c r="D28" s="85" t="str">
        <f t="shared" si="1"/>
        <v>Vlastiti prihodi</v>
      </c>
      <c r="E28" s="90">
        <v>3232</v>
      </c>
      <c r="F28" s="85" t="str">
        <f t="shared" si="2"/>
        <v>Usluge tekućeg i investicijskog održavanja</v>
      </c>
      <c r="G28" s="123" t="s">
        <v>145</v>
      </c>
      <c r="H28" s="85" t="str">
        <f t="shared" si="3"/>
        <v>REDOVNA DJELATNOST SVEUČILIŠTA U ZAGREBU (IZ EVIDENCIJSKIH PRIHODA)</v>
      </c>
      <c r="I28" s="85" t="str">
        <f t="shared" si="4"/>
        <v>0942</v>
      </c>
      <c r="J28" s="122">
        <v>15927</v>
      </c>
      <c r="K28" s="122">
        <v>15927</v>
      </c>
      <c r="L28" s="122">
        <v>15927</v>
      </c>
      <c r="M28" s="89"/>
      <c r="O28" t="str">
        <f t="shared" si="5"/>
        <v>323</v>
      </c>
      <c r="P28" t="str">
        <f t="shared" si="6"/>
        <v>32</v>
      </c>
      <c r="Q28" t="str">
        <f t="shared" si="7"/>
        <v>31</v>
      </c>
      <c r="R28" t="str">
        <f t="shared" si="8"/>
        <v>94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08006</v>
      </c>
      <c r="B29" s="85" t="str">
        <f>IF(C29="","",VLOOKUP('OPĆI DIO'!$C$3,'OPĆI DIO'!$L$6:$U$138,9,FALSE))</f>
        <v>Sveučilišta i veleučilišta u Republici Hrvatskoj</v>
      </c>
      <c r="C29" s="90">
        <v>31</v>
      </c>
      <c r="D29" s="85" t="str">
        <f t="shared" si="1"/>
        <v>Vlastiti prihodi</v>
      </c>
      <c r="E29" s="90">
        <v>3235</v>
      </c>
      <c r="F29" s="85" t="str">
        <f t="shared" si="2"/>
        <v>Zakupnine i najamnine</v>
      </c>
      <c r="G29" s="123" t="s">
        <v>145</v>
      </c>
      <c r="H29" s="85" t="str">
        <f t="shared" si="3"/>
        <v>REDOVNA DJELATNOST SVEUČILIŠTA U ZAGREBU (IZ EVIDENCIJSKIH PRIHODA)</v>
      </c>
      <c r="I29" s="85" t="str">
        <f t="shared" si="4"/>
        <v>0942</v>
      </c>
      <c r="J29" s="122">
        <v>3484</v>
      </c>
      <c r="K29" s="122">
        <v>3484</v>
      </c>
      <c r="L29" s="122">
        <v>3484</v>
      </c>
      <c r="M29" s="89"/>
      <c r="O29" t="str">
        <f t="shared" si="5"/>
        <v>323</v>
      </c>
      <c r="P29" t="str">
        <f t="shared" si="6"/>
        <v>32</v>
      </c>
      <c r="Q29" t="str">
        <f t="shared" si="7"/>
        <v>31</v>
      </c>
      <c r="R29" t="str">
        <f t="shared" si="8"/>
        <v>94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08006</v>
      </c>
      <c r="B30" s="85" t="str">
        <f>IF(C30="","",VLOOKUP('OPĆI DIO'!$C$3,'OPĆI DIO'!$L$6:$U$138,9,FALSE))</f>
        <v>Sveučilišta i veleučilišta u Republici Hrvatskoj</v>
      </c>
      <c r="C30" s="90">
        <v>31</v>
      </c>
      <c r="D30" s="85" t="str">
        <f t="shared" si="1"/>
        <v>Vlastiti prihodi</v>
      </c>
      <c r="E30" s="90">
        <v>3237</v>
      </c>
      <c r="F30" s="85" t="str">
        <f t="shared" si="2"/>
        <v>Intelektualne i osobne usluge</v>
      </c>
      <c r="G30" s="123" t="s">
        <v>145</v>
      </c>
      <c r="H30" s="85" t="str">
        <f t="shared" si="3"/>
        <v>REDOVNA DJELATNOST SVEUČILIŠTA U ZAGREBU (IZ EVIDENCIJSKIH PRIHODA)</v>
      </c>
      <c r="I30" s="85" t="str">
        <f t="shared" si="4"/>
        <v>0942</v>
      </c>
      <c r="J30" s="122">
        <v>26943</v>
      </c>
      <c r="K30" s="122">
        <v>26943</v>
      </c>
      <c r="L30" s="122">
        <v>26943</v>
      </c>
      <c r="M30" s="89"/>
      <c r="O30" t="str">
        <f t="shared" si="5"/>
        <v>323</v>
      </c>
      <c r="P30" t="str">
        <f t="shared" si="6"/>
        <v>32</v>
      </c>
      <c r="Q30" t="str">
        <f t="shared" si="7"/>
        <v>31</v>
      </c>
      <c r="R30" t="str">
        <f t="shared" si="8"/>
        <v>94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08006</v>
      </c>
      <c r="B31" s="85" t="str">
        <f>IF(C31="","",VLOOKUP('OPĆI DIO'!$C$3,'OPĆI DIO'!$L$6:$U$138,9,FALSE))</f>
        <v>Sveučilišta i veleučilišta u Republici Hrvatskoj</v>
      </c>
      <c r="C31" s="90">
        <v>31</v>
      </c>
      <c r="D31" s="85" t="str">
        <f t="shared" si="1"/>
        <v>Vlastiti prihodi</v>
      </c>
      <c r="E31" s="90">
        <v>3239</v>
      </c>
      <c r="F31" s="85" t="str">
        <f t="shared" si="2"/>
        <v>Ostale usluge</v>
      </c>
      <c r="G31" s="123" t="s">
        <v>145</v>
      </c>
      <c r="H31" s="85" t="str">
        <f t="shared" si="3"/>
        <v>REDOVNA DJELATNOST SVEUČILIŠTA U ZAGREBU (IZ EVIDENCIJSKIH PRIHODA)</v>
      </c>
      <c r="I31" s="85" t="str">
        <f t="shared" si="4"/>
        <v>0942</v>
      </c>
      <c r="J31" s="122">
        <v>4194</v>
      </c>
      <c r="K31" s="122">
        <v>35782</v>
      </c>
      <c r="L31" s="122">
        <v>4194</v>
      </c>
      <c r="M31" s="89"/>
      <c r="O31" t="str">
        <f t="shared" si="5"/>
        <v>323</v>
      </c>
      <c r="P31" t="str">
        <f t="shared" si="6"/>
        <v>32</v>
      </c>
      <c r="Q31" t="str">
        <f t="shared" si="7"/>
        <v>31</v>
      </c>
      <c r="R31" t="str">
        <f t="shared" si="8"/>
        <v>94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08006</v>
      </c>
      <c r="B32" s="85" t="str">
        <f>IF(C32="","",VLOOKUP('OPĆI DIO'!$C$3,'OPĆI DIO'!$L$6:$U$138,9,FALSE))</f>
        <v>Sveučilišta i veleučilišta u Republici Hrvatskoj</v>
      </c>
      <c r="C32" s="90">
        <v>31</v>
      </c>
      <c r="D32" s="85" t="str">
        <f t="shared" si="1"/>
        <v>Vlastiti prihodi</v>
      </c>
      <c r="E32" s="90">
        <v>3241</v>
      </c>
      <c r="F32" s="85" t="str">
        <f t="shared" si="2"/>
        <v>Naknade troškova osobama izvan radnog odnosa</v>
      </c>
      <c r="G32" s="123" t="s">
        <v>145</v>
      </c>
      <c r="H32" s="85" t="str">
        <f t="shared" si="3"/>
        <v>REDOVNA DJELATNOST SVEUČILIŠTA U ZAGREBU (IZ EVIDENCIJSKIH PRIHODA)</v>
      </c>
      <c r="I32" s="85" t="str">
        <f t="shared" si="4"/>
        <v>0942</v>
      </c>
      <c r="J32" s="122">
        <v>1546</v>
      </c>
      <c r="K32" s="122">
        <v>1546</v>
      </c>
      <c r="L32" s="122">
        <v>1546</v>
      </c>
      <c r="M32" s="89"/>
      <c r="O32" t="str">
        <f t="shared" si="5"/>
        <v>324</v>
      </c>
      <c r="P32" t="str">
        <f t="shared" si="6"/>
        <v>32</v>
      </c>
      <c r="Q32" t="str">
        <f t="shared" si="7"/>
        <v>31</v>
      </c>
      <c r="R32" t="str">
        <f t="shared" si="8"/>
        <v>94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08006</v>
      </c>
      <c r="B33" s="85" t="str">
        <f>IF(C33="","",VLOOKUP('OPĆI DIO'!$C$3,'OPĆI DIO'!$L$6:$U$138,9,FALSE))</f>
        <v>Sveučilišta i veleučilišta u Republici Hrvatskoj</v>
      </c>
      <c r="C33" s="90">
        <v>31</v>
      </c>
      <c r="D33" s="85" t="str">
        <f t="shared" si="1"/>
        <v>Vlastiti prihodi</v>
      </c>
      <c r="E33" s="90">
        <v>3293</v>
      </c>
      <c r="F33" s="85" t="str">
        <f t="shared" si="2"/>
        <v>Reprezentacija</v>
      </c>
      <c r="G33" s="123" t="s">
        <v>145</v>
      </c>
      <c r="H33" s="85" t="str">
        <f t="shared" si="3"/>
        <v>REDOVNA DJELATNOST SVEUČILIŠTA U ZAGREBU (IZ EVIDENCIJSKIH PRIHODA)</v>
      </c>
      <c r="I33" s="85" t="str">
        <f t="shared" si="4"/>
        <v>0942</v>
      </c>
      <c r="J33" s="122">
        <v>664</v>
      </c>
      <c r="K33" s="122">
        <v>664</v>
      </c>
      <c r="L33" s="122">
        <v>664</v>
      </c>
      <c r="M33" s="89"/>
      <c r="O33" t="str">
        <f t="shared" si="5"/>
        <v>329</v>
      </c>
      <c r="P33" t="str">
        <f t="shared" si="6"/>
        <v>32</v>
      </c>
      <c r="Q33" t="str">
        <f t="shared" si="7"/>
        <v>31</v>
      </c>
      <c r="R33" t="str">
        <f t="shared" si="8"/>
        <v>94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08006</v>
      </c>
      <c r="B34" s="85" t="str">
        <f>IF(C34="","",VLOOKUP('OPĆI DIO'!$C$3,'OPĆI DIO'!$L$6:$U$138,9,FALSE))</f>
        <v>Sveučilišta i veleučilišta u Republici Hrvatskoj</v>
      </c>
      <c r="C34" s="90">
        <v>31</v>
      </c>
      <c r="D34" s="85" t="str">
        <f t="shared" si="1"/>
        <v>Vlastiti prihodi</v>
      </c>
      <c r="E34" s="90">
        <v>3299</v>
      </c>
      <c r="F34" s="85" t="str">
        <f t="shared" si="2"/>
        <v>Ostali nespomenuti rashodi poslovanja</v>
      </c>
      <c r="G34" s="123" t="s">
        <v>145</v>
      </c>
      <c r="H34" s="85" t="str">
        <f t="shared" si="3"/>
        <v>REDOVNA DJELATNOST SVEUČILIŠTA U ZAGREBU (IZ EVIDENCIJSKIH PRIHODA)</v>
      </c>
      <c r="I34" s="85" t="str">
        <f t="shared" si="4"/>
        <v>0942</v>
      </c>
      <c r="J34" s="122">
        <v>1327</v>
      </c>
      <c r="K34" s="122">
        <v>1327</v>
      </c>
      <c r="L34" s="122">
        <v>1327</v>
      </c>
      <c r="M34" s="89"/>
      <c r="O34" t="str">
        <f t="shared" si="5"/>
        <v>329</v>
      </c>
      <c r="P34" t="str">
        <f t="shared" si="6"/>
        <v>32</v>
      </c>
      <c r="Q34" t="str">
        <f t="shared" si="7"/>
        <v>31</v>
      </c>
      <c r="R34" t="str">
        <f t="shared" si="8"/>
        <v>94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08006</v>
      </c>
      <c r="B35" s="85" t="str">
        <f>IF(C35="","",VLOOKUP('OPĆI DIO'!$C$3,'OPĆI DIO'!$L$6:$U$138,9,FALSE))</f>
        <v>Sveučilišta i veleučilišta u Republici Hrvatskoj</v>
      </c>
      <c r="C35" s="90">
        <v>43</v>
      </c>
      <c r="D35" s="85" t="str">
        <f t="shared" si="1"/>
        <v>Ostali prihodi za posebne namjene</v>
      </c>
      <c r="E35" s="90">
        <v>3111</v>
      </c>
      <c r="F35" s="85" t="str">
        <f t="shared" si="2"/>
        <v>Plaće za redovan rad</v>
      </c>
      <c r="G35" s="123" t="s">
        <v>145</v>
      </c>
      <c r="H35" s="85" t="str">
        <f t="shared" si="3"/>
        <v>REDOVNA DJELATNOST SVEUČILIŠTA U ZAGREBU (IZ EVIDENCIJSKIH PRIHODA)</v>
      </c>
      <c r="I35" s="85" t="str">
        <f t="shared" si="4"/>
        <v>0942</v>
      </c>
      <c r="J35" s="122">
        <v>362488</v>
      </c>
      <c r="K35" s="122">
        <v>383724</v>
      </c>
      <c r="L35" s="122">
        <v>375761</v>
      </c>
      <c r="M35" s="89"/>
      <c r="O35" t="str">
        <f t="shared" si="5"/>
        <v>311</v>
      </c>
      <c r="P35" t="str">
        <f t="shared" si="6"/>
        <v>31</v>
      </c>
      <c r="Q35" t="str">
        <f t="shared" si="7"/>
        <v>43</v>
      </c>
      <c r="R35" t="str">
        <f t="shared" si="8"/>
        <v>94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08006</v>
      </c>
      <c r="B36" s="85" t="str">
        <f>IF(C36="","",VLOOKUP('OPĆI DIO'!$C$3,'OPĆI DIO'!$L$6:$U$138,9,FALSE))</f>
        <v>Sveučilišta i veleučilišta u Republici Hrvatskoj</v>
      </c>
      <c r="C36" s="90">
        <v>43</v>
      </c>
      <c r="D36" s="85" t="str">
        <f t="shared" si="1"/>
        <v>Ostali prihodi za posebne namjene</v>
      </c>
      <c r="E36" s="90">
        <v>3112</v>
      </c>
      <c r="F36" s="85" t="str">
        <f t="shared" si="2"/>
        <v>Plaće u naravi</v>
      </c>
      <c r="G36" s="123" t="s">
        <v>145</v>
      </c>
      <c r="H36" s="85" t="str">
        <f t="shared" si="3"/>
        <v>REDOVNA DJELATNOST SVEUČILIŠTA U ZAGREBU (IZ EVIDENCIJSKIH PRIHODA)</v>
      </c>
      <c r="I36" s="85" t="str">
        <f t="shared" si="4"/>
        <v>0942</v>
      </c>
      <c r="J36" s="122">
        <v>17519</v>
      </c>
      <c r="K36" s="122">
        <v>17520</v>
      </c>
      <c r="L36" s="122">
        <v>17520</v>
      </c>
      <c r="M36" s="89"/>
      <c r="O36" t="str">
        <f t="shared" si="5"/>
        <v>311</v>
      </c>
      <c r="P36" t="str">
        <f t="shared" si="6"/>
        <v>31</v>
      </c>
      <c r="Q36" t="str">
        <f t="shared" si="7"/>
        <v>43</v>
      </c>
      <c r="R36" t="str">
        <f t="shared" si="8"/>
        <v>94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08006</v>
      </c>
      <c r="B37" s="85" t="str">
        <f>IF(C37="","",VLOOKUP('OPĆI DIO'!$C$3,'OPĆI DIO'!$L$6:$U$138,9,FALSE))</f>
        <v>Sveučilišta i veleučilišta u Republici Hrvatskoj</v>
      </c>
      <c r="C37" s="90">
        <v>43</v>
      </c>
      <c r="D37" s="85" t="str">
        <f t="shared" si="1"/>
        <v>Ostali prihodi za posebne namjene</v>
      </c>
      <c r="E37" s="90">
        <v>3121</v>
      </c>
      <c r="F37" s="85" t="str">
        <f t="shared" si="2"/>
        <v>Ostali rashodi za zaposlene</v>
      </c>
      <c r="G37" s="123" t="s">
        <v>145</v>
      </c>
      <c r="H37" s="85" t="str">
        <f t="shared" si="3"/>
        <v>REDOVNA DJELATNOST SVEUČILIŠTA U ZAGREBU (IZ EVIDENCIJSKIH PRIHODA)</v>
      </c>
      <c r="I37" s="85" t="str">
        <f t="shared" si="4"/>
        <v>0942</v>
      </c>
      <c r="J37" s="122">
        <v>69016</v>
      </c>
      <c r="K37" s="122">
        <v>69016</v>
      </c>
      <c r="L37" s="122">
        <v>69016</v>
      </c>
      <c r="M37" s="89"/>
      <c r="O37" t="str">
        <f t="shared" si="5"/>
        <v>312</v>
      </c>
      <c r="P37" t="str">
        <f t="shared" si="6"/>
        <v>31</v>
      </c>
      <c r="Q37" t="str">
        <f t="shared" si="7"/>
        <v>43</v>
      </c>
      <c r="R37" t="str">
        <f t="shared" si="8"/>
        <v>94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08006</v>
      </c>
      <c r="B38" s="85" t="str">
        <f>IF(C38="","",VLOOKUP('OPĆI DIO'!$C$3,'OPĆI DIO'!$L$6:$U$138,9,FALSE))</f>
        <v>Sveučilišta i veleučilišta u Republici Hrvatskoj</v>
      </c>
      <c r="C38" s="90">
        <v>43</v>
      </c>
      <c r="D38" s="85" t="str">
        <f t="shared" si="1"/>
        <v>Ostali prihodi za posebne namjene</v>
      </c>
      <c r="E38" s="90">
        <v>3132</v>
      </c>
      <c r="F38" s="85" t="str">
        <f t="shared" si="2"/>
        <v>Doprinosi za obvezno zdravstveno osiguranje</v>
      </c>
      <c r="G38" s="123" t="s">
        <v>145</v>
      </c>
      <c r="H38" s="85" t="str">
        <f t="shared" si="3"/>
        <v>REDOVNA DJELATNOST SVEUČILIŠTA U ZAGREBU (IZ EVIDENCIJSKIH PRIHODA)</v>
      </c>
      <c r="I38" s="85" t="str">
        <f t="shared" si="4"/>
        <v>0942</v>
      </c>
      <c r="J38" s="122">
        <v>60587</v>
      </c>
      <c r="K38" s="122">
        <v>64091</v>
      </c>
      <c r="L38" s="122">
        <v>62777</v>
      </c>
      <c r="M38" s="89"/>
      <c r="O38" t="str">
        <f t="shared" si="5"/>
        <v>313</v>
      </c>
      <c r="P38" t="str">
        <f t="shared" si="6"/>
        <v>31</v>
      </c>
      <c r="Q38" t="str">
        <f t="shared" si="7"/>
        <v>43</v>
      </c>
      <c r="R38" t="str">
        <f t="shared" si="8"/>
        <v>94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08006</v>
      </c>
      <c r="B39" s="85" t="str">
        <f>IF(C39="","",VLOOKUP('OPĆI DIO'!$C$3,'OPĆI DIO'!$L$6:$U$138,9,FALSE))</f>
        <v>Sveučilišta i veleučilišta u Republici Hrvatskoj</v>
      </c>
      <c r="C39" s="90">
        <v>43</v>
      </c>
      <c r="D39" s="85" t="str">
        <f t="shared" si="1"/>
        <v>Ostali prihodi za posebne namjene</v>
      </c>
      <c r="E39" s="90">
        <v>3211</v>
      </c>
      <c r="F39" s="85" t="str">
        <f t="shared" si="2"/>
        <v>Službena putovanja</v>
      </c>
      <c r="G39" s="123" t="s">
        <v>145</v>
      </c>
      <c r="H39" s="85" t="str">
        <f t="shared" si="3"/>
        <v>REDOVNA DJELATNOST SVEUČILIŠTA U ZAGREBU (IZ EVIDENCIJSKIH PRIHODA)</v>
      </c>
      <c r="I39" s="85" t="str">
        <f t="shared" si="4"/>
        <v>0942</v>
      </c>
      <c r="J39" s="122">
        <v>120477</v>
      </c>
      <c r="K39" s="122">
        <v>131196</v>
      </c>
      <c r="L39" s="122">
        <v>125302</v>
      </c>
      <c r="M39" s="89"/>
      <c r="O39" t="str">
        <f t="shared" si="5"/>
        <v>321</v>
      </c>
      <c r="P39" t="str">
        <f t="shared" si="6"/>
        <v>32</v>
      </c>
      <c r="Q39" t="str">
        <f t="shared" si="7"/>
        <v>43</v>
      </c>
      <c r="R39" t="str">
        <f t="shared" si="8"/>
        <v>94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08006</v>
      </c>
      <c r="B40" s="85" t="str">
        <f>IF(C40="","",VLOOKUP('OPĆI DIO'!$C$3,'OPĆI DIO'!$L$6:$U$138,9,FALSE))</f>
        <v>Sveučilišta i veleučilišta u Republici Hrvatskoj</v>
      </c>
      <c r="C40" s="90">
        <v>43</v>
      </c>
      <c r="D40" s="85" t="str">
        <f t="shared" si="1"/>
        <v>Ostali prihodi za posebne namjene</v>
      </c>
      <c r="E40" s="90">
        <v>3213</v>
      </c>
      <c r="F40" s="85" t="str">
        <f t="shared" si="2"/>
        <v>Stručno usavršavanje zaposlenika</v>
      </c>
      <c r="G40" s="123" t="s">
        <v>145</v>
      </c>
      <c r="H40" s="85" t="str">
        <f t="shared" si="3"/>
        <v>REDOVNA DJELATNOST SVEUČILIŠTA U ZAGREBU (IZ EVIDENCIJSKIH PRIHODA)</v>
      </c>
      <c r="I40" s="85" t="str">
        <f t="shared" si="4"/>
        <v>0942</v>
      </c>
      <c r="J40" s="122">
        <v>6105</v>
      </c>
      <c r="K40" s="122">
        <v>6105</v>
      </c>
      <c r="L40" s="122">
        <v>6105</v>
      </c>
      <c r="M40" s="89"/>
      <c r="O40" t="str">
        <f t="shared" si="5"/>
        <v>321</v>
      </c>
      <c r="P40" t="str">
        <f t="shared" si="6"/>
        <v>32</v>
      </c>
      <c r="Q40" t="str">
        <f t="shared" si="7"/>
        <v>43</v>
      </c>
      <c r="R40" t="str">
        <f t="shared" si="8"/>
        <v>94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08006</v>
      </c>
      <c r="B41" s="85" t="str">
        <f>IF(C41="","",VLOOKUP('OPĆI DIO'!$C$3,'OPĆI DIO'!$L$6:$U$138,9,FALSE))</f>
        <v>Sveučilišta i veleučilišta u Republici Hrvatskoj</v>
      </c>
      <c r="C41" s="90">
        <v>43</v>
      </c>
      <c r="D41" s="85" t="str">
        <f t="shared" si="1"/>
        <v>Ostali prihodi za posebne namjene</v>
      </c>
      <c r="E41" s="90">
        <v>3221</v>
      </c>
      <c r="F41" s="85" t="str">
        <f t="shared" si="2"/>
        <v>Uredski materijal i ostali materijalni rashodi</v>
      </c>
      <c r="G41" s="123" t="s">
        <v>145</v>
      </c>
      <c r="H41" s="85" t="str">
        <f t="shared" si="3"/>
        <v>REDOVNA DJELATNOST SVEUČILIŠTA U ZAGREBU (IZ EVIDENCIJSKIH PRIHODA)</v>
      </c>
      <c r="I41" s="85" t="str">
        <f t="shared" si="4"/>
        <v>0942</v>
      </c>
      <c r="J41" s="122">
        <v>44860</v>
      </c>
      <c r="K41" s="122">
        <v>45219</v>
      </c>
      <c r="L41" s="122">
        <v>44860</v>
      </c>
      <c r="M41" s="89"/>
      <c r="O41" t="str">
        <f t="shared" si="5"/>
        <v>322</v>
      </c>
      <c r="P41" t="str">
        <f t="shared" si="6"/>
        <v>32</v>
      </c>
      <c r="Q41" t="str">
        <f t="shared" si="7"/>
        <v>43</v>
      </c>
      <c r="R41" t="str">
        <f t="shared" si="8"/>
        <v>94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08006</v>
      </c>
      <c r="B42" s="85" t="str">
        <f>IF(C42="","",VLOOKUP('OPĆI DIO'!$C$3,'OPĆI DIO'!$L$6:$U$138,9,FALSE))</f>
        <v>Sveučilišta i veleučilišta u Republici Hrvatskoj</v>
      </c>
      <c r="C42" s="90">
        <v>43</v>
      </c>
      <c r="D42" s="85" t="str">
        <f t="shared" si="1"/>
        <v>Ostali prihodi za posebne namjene</v>
      </c>
      <c r="E42" s="90">
        <v>3223</v>
      </c>
      <c r="F42" s="85" t="str">
        <f t="shared" si="2"/>
        <v>Energija</v>
      </c>
      <c r="G42" s="123" t="s">
        <v>145</v>
      </c>
      <c r="H42" s="85" t="str">
        <f t="shared" si="3"/>
        <v>REDOVNA DJELATNOST SVEUČILIŠTA U ZAGREBU (IZ EVIDENCIJSKIH PRIHODA)</v>
      </c>
      <c r="I42" s="85" t="str">
        <f t="shared" si="4"/>
        <v>0942</v>
      </c>
      <c r="J42" s="122">
        <v>62668</v>
      </c>
      <c r="K42" s="122">
        <v>62542</v>
      </c>
      <c r="L42" s="122">
        <v>62542</v>
      </c>
      <c r="M42" s="89"/>
      <c r="O42" t="str">
        <f t="shared" si="5"/>
        <v>322</v>
      </c>
      <c r="P42" t="str">
        <f t="shared" si="6"/>
        <v>32</v>
      </c>
      <c r="Q42" t="str">
        <f t="shared" si="7"/>
        <v>43</v>
      </c>
      <c r="R42" t="str">
        <f t="shared" si="8"/>
        <v>94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08006</v>
      </c>
      <c r="B43" s="85" t="str">
        <f>IF(C43="","",VLOOKUP('OPĆI DIO'!$C$3,'OPĆI DIO'!$L$6:$U$138,9,FALSE))</f>
        <v>Sveučilišta i veleučilišta u Republici Hrvatskoj</v>
      </c>
      <c r="C43" s="90">
        <v>43</v>
      </c>
      <c r="D43" s="85" t="str">
        <f t="shared" si="1"/>
        <v>Ostali prihodi za posebne namjene</v>
      </c>
      <c r="E43" s="90">
        <v>3224</v>
      </c>
      <c r="F43" s="85" t="str">
        <f t="shared" si="2"/>
        <v>Materijal i dijelovi za tekuće i investicijsko održavanje</v>
      </c>
      <c r="G43" s="123" t="s">
        <v>145</v>
      </c>
      <c r="H43" s="85" t="str">
        <f t="shared" si="3"/>
        <v>REDOVNA DJELATNOST SVEUČILIŠTA U ZAGREBU (IZ EVIDENCIJSKIH PRIHODA)</v>
      </c>
      <c r="I43" s="85" t="str">
        <f t="shared" si="4"/>
        <v>0942</v>
      </c>
      <c r="J43" s="122">
        <v>13936</v>
      </c>
      <c r="K43" s="122">
        <v>13936</v>
      </c>
      <c r="L43" s="122">
        <v>13936</v>
      </c>
      <c r="M43" s="89"/>
      <c r="O43" t="str">
        <f t="shared" si="5"/>
        <v>322</v>
      </c>
      <c r="P43" t="str">
        <f t="shared" si="6"/>
        <v>32</v>
      </c>
      <c r="Q43" t="str">
        <f t="shared" si="7"/>
        <v>43</v>
      </c>
      <c r="R43" t="str">
        <f t="shared" si="8"/>
        <v>94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08006</v>
      </c>
      <c r="B44" s="85" t="str">
        <f>IF(C44="","",VLOOKUP('OPĆI DIO'!$C$3,'OPĆI DIO'!$L$6:$U$138,9,FALSE))</f>
        <v>Sveučilišta i veleučilišta u Republici Hrvatskoj</v>
      </c>
      <c r="C44" s="90">
        <v>43</v>
      </c>
      <c r="D44" s="85" t="str">
        <f t="shared" si="1"/>
        <v>Ostali prihodi za posebne namjene</v>
      </c>
      <c r="E44" s="90">
        <v>3225</v>
      </c>
      <c r="F44" s="85" t="str">
        <f t="shared" si="2"/>
        <v>Sitni inventar i auto gume</v>
      </c>
      <c r="G44" s="123" t="s">
        <v>145</v>
      </c>
      <c r="H44" s="85" t="str">
        <f t="shared" si="3"/>
        <v>REDOVNA DJELATNOST SVEUČILIŠTA U ZAGREBU (IZ EVIDENCIJSKIH PRIHODA)</v>
      </c>
      <c r="I44" s="85" t="str">
        <f t="shared" si="4"/>
        <v>0942</v>
      </c>
      <c r="J44" s="122">
        <v>6636</v>
      </c>
      <c r="K44" s="122">
        <v>6636</v>
      </c>
      <c r="L44" s="122">
        <v>6636</v>
      </c>
      <c r="M44" s="89"/>
      <c r="O44" t="str">
        <f t="shared" si="5"/>
        <v>322</v>
      </c>
      <c r="P44" t="str">
        <f t="shared" si="6"/>
        <v>32</v>
      </c>
      <c r="Q44" t="str">
        <f t="shared" si="7"/>
        <v>43</v>
      </c>
      <c r="R44" t="str">
        <f t="shared" si="8"/>
        <v>94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08006</v>
      </c>
      <c r="B45" s="85" t="str">
        <f>IF(C45="","",VLOOKUP('OPĆI DIO'!$C$3,'OPĆI DIO'!$L$6:$U$138,9,FALSE))</f>
        <v>Sveučilišta i veleučilišta u Republici Hrvatskoj</v>
      </c>
      <c r="C45" s="90">
        <v>43</v>
      </c>
      <c r="D45" s="85" t="str">
        <f t="shared" si="1"/>
        <v>Ostali prihodi za posebne namjene</v>
      </c>
      <c r="E45" s="90">
        <v>3231</v>
      </c>
      <c r="F45" s="85" t="str">
        <f t="shared" si="2"/>
        <v>Usluge telefona, pošte i prijevoza</v>
      </c>
      <c r="G45" s="123" t="s">
        <v>145</v>
      </c>
      <c r="H45" s="85" t="str">
        <f t="shared" si="3"/>
        <v>REDOVNA DJELATNOST SVEUČILIŠTA U ZAGREBU (IZ EVIDENCIJSKIH PRIHODA)</v>
      </c>
      <c r="I45" s="85" t="str">
        <f t="shared" si="4"/>
        <v>0942</v>
      </c>
      <c r="J45" s="122">
        <v>30303</v>
      </c>
      <c r="K45" s="122">
        <v>31100</v>
      </c>
      <c r="L45" s="122">
        <v>30303</v>
      </c>
      <c r="M45" s="89"/>
      <c r="O45" t="str">
        <f t="shared" si="5"/>
        <v>323</v>
      </c>
      <c r="P45" t="str">
        <f t="shared" si="6"/>
        <v>32</v>
      </c>
      <c r="Q45" t="str">
        <f t="shared" si="7"/>
        <v>43</v>
      </c>
      <c r="R45" t="str">
        <f t="shared" si="8"/>
        <v>94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08006</v>
      </c>
      <c r="B46" s="85" t="str">
        <f>IF(C46="","",VLOOKUP('OPĆI DIO'!$C$3,'OPĆI DIO'!$L$6:$U$138,9,FALSE))</f>
        <v>Sveučilišta i veleučilišta u Republici Hrvatskoj</v>
      </c>
      <c r="C46" s="90">
        <v>43</v>
      </c>
      <c r="D46" s="85" t="str">
        <f t="shared" si="1"/>
        <v>Ostali prihodi za posebne namjene</v>
      </c>
      <c r="E46" s="90">
        <v>3232</v>
      </c>
      <c r="F46" s="85" t="str">
        <f t="shared" si="2"/>
        <v>Usluge tekućeg i investicijskog održavanja</v>
      </c>
      <c r="G46" s="123" t="s">
        <v>145</v>
      </c>
      <c r="H46" s="85" t="str">
        <f t="shared" si="3"/>
        <v>REDOVNA DJELATNOST SVEUČILIŠTA U ZAGREBU (IZ EVIDENCIJSKIH PRIHODA)</v>
      </c>
      <c r="I46" s="85" t="str">
        <f t="shared" si="4"/>
        <v>0942</v>
      </c>
      <c r="J46" s="122">
        <v>16590</v>
      </c>
      <c r="K46" s="122">
        <v>9699</v>
      </c>
      <c r="L46" s="122">
        <v>9699</v>
      </c>
      <c r="M46" s="89"/>
      <c r="O46" t="str">
        <f t="shared" si="5"/>
        <v>323</v>
      </c>
      <c r="P46" t="str">
        <f t="shared" si="6"/>
        <v>32</v>
      </c>
      <c r="Q46" t="str">
        <f t="shared" si="7"/>
        <v>43</v>
      </c>
      <c r="R46" t="str">
        <f t="shared" si="8"/>
        <v>94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08006</v>
      </c>
      <c r="B47" s="85" t="str">
        <f>IF(C47="","",VLOOKUP('OPĆI DIO'!$C$3,'OPĆI DIO'!$L$6:$U$138,9,FALSE))</f>
        <v>Sveučilišta i veleučilišta u Republici Hrvatskoj</v>
      </c>
      <c r="C47" s="90">
        <v>43</v>
      </c>
      <c r="D47" s="85" t="str">
        <f t="shared" si="1"/>
        <v>Ostali prihodi za posebne namjene</v>
      </c>
      <c r="E47" s="90">
        <v>3233</v>
      </c>
      <c r="F47" s="85" t="str">
        <f t="shared" si="2"/>
        <v>Usluge promidžbe i informiranja</v>
      </c>
      <c r="G47" s="123" t="s">
        <v>145</v>
      </c>
      <c r="H47" s="85" t="str">
        <f t="shared" si="3"/>
        <v>REDOVNA DJELATNOST SVEUČILIŠTA U ZAGREBU (IZ EVIDENCIJSKIH PRIHODA)</v>
      </c>
      <c r="I47" s="85" t="str">
        <f t="shared" si="4"/>
        <v>0942</v>
      </c>
      <c r="J47" s="122">
        <v>34905</v>
      </c>
      <c r="K47" s="122">
        <v>36498</v>
      </c>
      <c r="L47" s="122">
        <v>31511</v>
      </c>
      <c r="M47" s="89"/>
      <c r="O47" t="str">
        <f t="shared" si="5"/>
        <v>323</v>
      </c>
      <c r="P47" t="str">
        <f t="shared" si="6"/>
        <v>32</v>
      </c>
      <c r="Q47" t="str">
        <f t="shared" si="7"/>
        <v>43</v>
      </c>
      <c r="R47" t="str">
        <f t="shared" si="8"/>
        <v>94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08006</v>
      </c>
      <c r="B48" s="85" t="str">
        <f>IF(C48="","",VLOOKUP('OPĆI DIO'!$C$3,'OPĆI DIO'!$L$6:$U$138,9,FALSE))</f>
        <v>Sveučilišta i veleučilišta u Republici Hrvatskoj</v>
      </c>
      <c r="C48" s="90">
        <v>43</v>
      </c>
      <c r="D48" s="85" t="str">
        <f t="shared" si="1"/>
        <v>Ostali prihodi za posebne namjene</v>
      </c>
      <c r="E48" s="90">
        <v>3234</v>
      </c>
      <c r="F48" s="85" t="str">
        <f t="shared" si="2"/>
        <v>Komunalne usluge</v>
      </c>
      <c r="G48" s="123" t="s">
        <v>145</v>
      </c>
      <c r="H48" s="85" t="str">
        <f t="shared" si="3"/>
        <v>REDOVNA DJELATNOST SVEUČILIŠTA U ZAGREBU (IZ EVIDENCIJSKIH PRIHODA)</v>
      </c>
      <c r="I48" s="85" t="str">
        <f t="shared" si="4"/>
        <v>0942</v>
      </c>
      <c r="J48" s="122">
        <v>33181</v>
      </c>
      <c r="K48" s="122">
        <v>33181</v>
      </c>
      <c r="L48" s="122">
        <v>33180</v>
      </c>
      <c r="M48" s="89"/>
      <c r="O48" t="str">
        <f t="shared" si="5"/>
        <v>323</v>
      </c>
      <c r="P48" t="str">
        <f t="shared" si="6"/>
        <v>32</v>
      </c>
      <c r="Q48" t="str">
        <f t="shared" si="7"/>
        <v>43</v>
      </c>
      <c r="R48" t="str">
        <f t="shared" si="8"/>
        <v>94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08006</v>
      </c>
      <c r="B49" s="85" t="str">
        <f>IF(C49="","",VLOOKUP('OPĆI DIO'!$C$3,'OPĆI DIO'!$L$6:$U$138,9,FALSE))</f>
        <v>Sveučilišta i veleučilišta u Republici Hrvatskoj</v>
      </c>
      <c r="C49" s="90">
        <v>43</v>
      </c>
      <c r="D49" s="85" t="str">
        <f t="shared" si="1"/>
        <v>Ostali prihodi za posebne namjene</v>
      </c>
      <c r="E49" s="90">
        <v>3235</v>
      </c>
      <c r="F49" s="85" t="str">
        <f t="shared" si="2"/>
        <v>Zakupnine i najamnine</v>
      </c>
      <c r="G49" s="123" t="s">
        <v>145</v>
      </c>
      <c r="H49" s="85" t="str">
        <f t="shared" si="3"/>
        <v>REDOVNA DJELATNOST SVEUČILIŠTA U ZAGREBU (IZ EVIDENCIJSKIH PRIHODA)</v>
      </c>
      <c r="I49" s="85" t="str">
        <f t="shared" si="4"/>
        <v>0942</v>
      </c>
      <c r="J49" s="122">
        <v>92395</v>
      </c>
      <c r="K49" s="122">
        <v>92395</v>
      </c>
      <c r="L49" s="122">
        <v>92395</v>
      </c>
      <c r="M49" s="89"/>
      <c r="O49" t="str">
        <f t="shared" si="5"/>
        <v>323</v>
      </c>
      <c r="P49" t="str">
        <f t="shared" si="6"/>
        <v>32</v>
      </c>
      <c r="Q49" t="str">
        <f t="shared" si="7"/>
        <v>43</v>
      </c>
      <c r="R49" t="str">
        <f t="shared" si="8"/>
        <v>94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08006</v>
      </c>
      <c r="B50" s="85" t="str">
        <f>IF(C50="","",VLOOKUP('OPĆI DIO'!$C$3,'OPĆI DIO'!$L$6:$U$138,9,FALSE))</f>
        <v>Sveučilišta i veleučilišta u Republici Hrvatskoj</v>
      </c>
      <c r="C50" s="90">
        <v>43</v>
      </c>
      <c r="D50" s="85" t="str">
        <f t="shared" si="1"/>
        <v>Ostali prihodi za posebne namjene</v>
      </c>
      <c r="E50" s="90">
        <v>3236</v>
      </c>
      <c r="F50" s="85" t="str">
        <f t="shared" si="2"/>
        <v>Zdravstvene i veterinarske usluge</v>
      </c>
      <c r="G50" s="123" t="s">
        <v>145</v>
      </c>
      <c r="H50" s="85" t="str">
        <f t="shared" si="3"/>
        <v>REDOVNA DJELATNOST SVEUČILIŠTA U ZAGREBU (IZ EVIDENCIJSKIH PRIHODA)</v>
      </c>
      <c r="I50" s="85" t="str">
        <f t="shared" si="4"/>
        <v>0942</v>
      </c>
      <c r="J50" s="122">
        <v>23471</v>
      </c>
      <c r="K50" s="122">
        <v>15633</v>
      </c>
      <c r="L50" s="122">
        <v>15633</v>
      </c>
      <c r="M50" s="89"/>
      <c r="O50" t="str">
        <f t="shared" si="5"/>
        <v>323</v>
      </c>
      <c r="P50" t="str">
        <f t="shared" si="6"/>
        <v>32</v>
      </c>
      <c r="Q50" t="str">
        <f t="shared" si="7"/>
        <v>43</v>
      </c>
      <c r="R50" t="str">
        <f t="shared" si="8"/>
        <v>94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08006</v>
      </c>
      <c r="B51" s="85" t="str">
        <f>IF(C51="","",VLOOKUP('OPĆI DIO'!$C$3,'OPĆI DIO'!$L$6:$U$138,9,FALSE))</f>
        <v>Sveučilišta i veleučilišta u Republici Hrvatskoj</v>
      </c>
      <c r="C51" s="90">
        <v>43</v>
      </c>
      <c r="D51" s="85" t="str">
        <f t="shared" si="1"/>
        <v>Ostali prihodi za posebne namjene</v>
      </c>
      <c r="E51" s="90">
        <v>3237</v>
      </c>
      <c r="F51" s="85" t="str">
        <f t="shared" si="2"/>
        <v>Intelektualne i osobne usluge</v>
      </c>
      <c r="G51" s="123" t="s">
        <v>145</v>
      </c>
      <c r="H51" s="85" t="str">
        <f t="shared" si="3"/>
        <v>REDOVNA DJELATNOST SVEUČILIŠTA U ZAGREBU (IZ EVIDENCIJSKIH PRIHODA)</v>
      </c>
      <c r="I51" s="85" t="str">
        <f t="shared" si="4"/>
        <v>0942</v>
      </c>
      <c r="J51" s="122">
        <v>139402</v>
      </c>
      <c r="K51" s="122">
        <v>141402</v>
      </c>
      <c r="L51" s="122">
        <v>140587</v>
      </c>
      <c r="M51" s="89"/>
      <c r="O51" t="str">
        <f t="shared" si="5"/>
        <v>323</v>
      </c>
      <c r="P51" t="str">
        <f t="shared" si="6"/>
        <v>32</v>
      </c>
      <c r="Q51" t="str">
        <f t="shared" si="7"/>
        <v>43</v>
      </c>
      <c r="R51" t="str">
        <f t="shared" si="8"/>
        <v>94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08006</v>
      </c>
      <c r="B52" s="85" t="str">
        <f>IF(C52="","",VLOOKUP('OPĆI DIO'!$C$3,'OPĆI DIO'!$L$6:$U$138,9,FALSE))</f>
        <v>Sveučilišta i veleučilišta u Republici Hrvatskoj</v>
      </c>
      <c r="C52" s="90">
        <v>43</v>
      </c>
      <c r="D52" s="85" t="str">
        <f t="shared" si="1"/>
        <v>Ostali prihodi za posebne namjene</v>
      </c>
      <c r="E52" s="90">
        <v>3238</v>
      </c>
      <c r="F52" s="85" t="str">
        <f t="shared" si="2"/>
        <v>Računalne usluge</v>
      </c>
      <c r="G52" s="123" t="s">
        <v>145</v>
      </c>
      <c r="H52" s="85" t="str">
        <f t="shared" si="3"/>
        <v>REDOVNA DJELATNOST SVEUČILIŠTA U ZAGREBU (IZ EVIDENCIJSKIH PRIHODA)</v>
      </c>
      <c r="I52" s="85" t="str">
        <f t="shared" si="4"/>
        <v>0942</v>
      </c>
      <c r="J52" s="122">
        <v>39601</v>
      </c>
      <c r="K52" s="122">
        <v>39601</v>
      </c>
      <c r="L52" s="122">
        <v>39601</v>
      </c>
      <c r="M52" s="89"/>
      <c r="O52" t="str">
        <f t="shared" si="5"/>
        <v>323</v>
      </c>
      <c r="P52" t="str">
        <f t="shared" si="6"/>
        <v>32</v>
      </c>
      <c r="Q52" t="str">
        <f t="shared" si="7"/>
        <v>43</v>
      </c>
      <c r="R52" t="str">
        <f t="shared" si="8"/>
        <v>94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>08006</v>
      </c>
      <c r="B53" s="85" t="str">
        <f>IF(C53="","",VLOOKUP('OPĆI DIO'!$C$3,'OPĆI DIO'!$L$6:$U$138,9,FALSE))</f>
        <v>Sveučilišta i veleučilišta u Republici Hrvatskoj</v>
      </c>
      <c r="C53" s="90">
        <v>43</v>
      </c>
      <c r="D53" s="85" t="str">
        <f t="shared" si="1"/>
        <v>Ostali prihodi za posebne namjene</v>
      </c>
      <c r="E53" s="90">
        <v>3239</v>
      </c>
      <c r="F53" s="85" t="str">
        <f t="shared" si="2"/>
        <v>Ostale usluge</v>
      </c>
      <c r="G53" s="123" t="s">
        <v>145</v>
      </c>
      <c r="H53" s="85" t="str">
        <f t="shared" si="3"/>
        <v>REDOVNA DJELATNOST SVEUČILIŠTA U ZAGREBU (IZ EVIDENCIJSKIH PRIHODA)</v>
      </c>
      <c r="I53" s="85" t="str">
        <f t="shared" si="4"/>
        <v>0942</v>
      </c>
      <c r="J53" s="122">
        <v>22113</v>
      </c>
      <c r="K53" s="122">
        <v>30700</v>
      </c>
      <c r="L53" s="122">
        <v>22113</v>
      </c>
      <c r="M53" s="89"/>
      <c r="O53" t="str">
        <f t="shared" si="5"/>
        <v>323</v>
      </c>
      <c r="P53" t="str">
        <f t="shared" si="6"/>
        <v>32</v>
      </c>
      <c r="Q53" t="str">
        <f t="shared" si="7"/>
        <v>43</v>
      </c>
      <c r="R53" t="str">
        <f t="shared" si="8"/>
        <v>94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>08006</v>
      </c>
      <c r="B54" s="85" t="str">
        <f>IF(C54="","",VLOOKUP('OPĆI DIO'!$C$3,'OPĆI DIO'!$L$6:$U$138,9,FALSE))</f>
        <v>Sveučilišta i veleučilišta u Republici Hrvatskoj</v>
      </c>
      <c r="C54" s="90">
        <v>43</v>
      </c>
      <c r="D54" s="85" t="str">
        <f t="shared" si="1"/>
        <v>Ostali prihodi za posebne namjene</v>
      </c>
      <c r="E54" s="90">
        <v>3241</v>
      </c>
      <c r="F54" s="85" t="str">
        <f t="shared" si="2"/>
        <v>Naknade troškova osobama izvan radnog odnosa</v>
      </c>
      <c r="G54" s="123" t="s">
        <v>145</v>
      </c>
      <c r="H54" s="85" t="str">
        <f t="shared" si="3"/>
        <v>REDOVNA DJELATNOST SVEUČILIŠTA U ZAGREBU (IZ EVIDENCIJSKIH PRIHODA)</v>
      </c>
      <c r="I54" s="85" t="str">
        <f t="shared" si="4"/>
        <v>0942</v>
      </c>
      <c r="J54" s="122">
        <v>6769</v>
      </c>
      <c r="K54" s="122">
        <v>7338</v>
      </c>
      <c r="L54" s="122">
        <v>7527</v>
      </c>
      <c r="M54" s="89"/>
      <c r="O54" t="str">
        <f t="shared" si="5"/>
        <v>324</v>
      </c>
      <c r="P54" t="str">
        <f t="shared" si="6"/>
        <v>32</v>
      </c>
      <c r="Q54" t="str">
        <f t="shared" si="7"/>
        <v>43</v>
      </c>
      <c r="R54" t="str">
        <f t="shared" si="8"/>
        <v>94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08006</v>
      </c>
      <c r="B55" s="85" t="str">
        <f>IF(C55="","",VLOOKUP('OPĆI DIO'!$C$3,'OPĆI DIO'!$L$6:$U$138,9,FALSE))</f>
        <v>Sveučilišta i veleučilišta u Republici Hrvatskoj</v>
      </c>
      <c r="C55" s="90">
        <v>43</v>
      </c>
      <c r="D55" s="85" t="str">
        <f t="shared" si="1"/>
        <v>Ostali prihodi za posebne namjene</v>
      </c>
      <c r="E55" s="90">
        <v>3292</v>
      </c>
      <c r="F55" s="85" t="str">
        <f t="shared" si="2"/>
        <v>Premije osiguranja</v>
      </c>
      <c r="G55" s="123" t="s">
        <v>145</v>
      </c>
      <c r="H55" s="85" t="str">
        <f t="shared" si="3"/>
        <v>REDOVNA DJELATNOST SVEUČILIŠTA U ZAGREBU (IZ EVIDENCIJSKIH PRIHODA)</v>
      </c>
      <c r="I55" s="85" t="str">
        <f t="shared" si="4"/>
        <v>0942</v>
      </c>
      <c r="J55" s="122">
        <v>43397</v>
      </c>
      <c r="K55" s="122">
        <v>43397</v>
      </c>
      <c r="L55" s="122">
        <v>43397</v>
      </c>
      <c r="M55" s="89"/>
      <c r="O55" t="str">
        <f t="shared" si="5"/>
        <v>329</v>
      </c>
      <c r="P55" t="str">
        <f t="shared" si="6"/>
        <v>32</v>
      </c>
      <c r="Q55" t="str">
        <f t="shared" si="7"/>
        <v>43</v>
      </c>
      <c r="R55" t="str">
        <f t="shared" si="8"/>
        <v>94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08006</v>
      </c>
      <c r="B56" s="85" t="str">
        <f>IF(C56="","",VLOOKUP('OPĆI DIO'!$C$3,'OPĆI DIO'!$L$6:$U$138,9,FALSE))</f>
        <v>Sveučilišta i veleučilišta u Republici Hrvatskoj</v>
      </c>
      <c r="C56" s="90">
        <v>43</v>
      </c>
      <c r="D56" s="85" t="str">
        <f t="shared" si="1"/>
        <v>Ostali prihodi za posebne namjene</v>
      </c>
      <c r="E56" s="90">
        <v>3293</v>
      </c>
      <c r="F56" s="85" t="str">
        <f t="shared" si="2"/>
        <v>Reprezentacija</v>
      </c>
      <c r="G56" s="123" t="s">
        <v>145</v>
      </c>
      <c r="H56" s="85" t="str">
        <f t="shared" si="3"/>
        <v>REDOVNA DJELATNOST SVEUČILIŠTA U ZAGREBU (IZ EVIDENCIJSKIH PRIHODA)</v>
      </c>
      <c r="I56" s="85" t="str">
        <f t="shared" si="4"/>
        <v>0942</v>
      </c>
      <c r="J56" s="122">
        <v>20174</v>
      </c>
      <c r="K56" s="122">
        <v>22828</v>
      </c>
      <c r="L56" s="122">
        <v>20174</v>
      </c>
      <c r="M56" s="89"/>
      <c r="O56" t="str">
        <f t="shared" si="5"/>
        <v>329</v>
      </c>
      <c r="P56" t="str">
        <f t="shared" si="6"/>
        <v>32</v>
      </c>
      <c r="Q56" t="str">
        <f t="shared" si="7"/>
        <v>43</v>
      </c>
      <c r="R56" t="str">
        <f t="shared" si="8"/>
        <v>94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08006</v>
      </c>
      <c r="B57" s="85" t="str">
        <f>IF(C57="","",VLOOKUP('OPĆI DIO'!$C$3,'OPĆI DIO'!$L$6:$U$138,9,FALSE))</f>
        <v>Sveučilišta i veleučilišta u Republici Hrvatskoj</v>
      </c>
      <c r="C57" s="90">
        <v>43</v>
      </c>
      <c r="D57" s="85" t="str">
        <f t="shared" si="1"/>
        <v>Ostali prihodi za posebne namjene</v>
      </c>
      <c r="E57" s="90">
        <v>3299</v>
      </c>
      <c r="F57" s="85" t="str">
        <f t="shared" si="2"/>
        <v>Ostali nespomenuti rashodi poslovanja</v>
      </c>
      <c r="G57" s="123" t="s">
        <v>145</v>
      </c>
      <c r="H57" s="85" t="str">
        <f t="shared" si="3"/>
        <v>REDOVNA DJELATNOST SVEUČILIŠTA U ZAGREBU (IZ EVIDENCIJSKIH PRIHODA)</v>
      </c>
      <c r="I57" s="85" t="str">
        <f t="shared" si="4"/>
        <v>0942</v>
      </c>
      <c r="J57" s="122">
        <v>53179</v>
      </c>
      <c r="K57" s="122">
        <v>55833</v>
      </c>
      <c r="L57" s="122">
        <v>55833</v>
      </c>
      <c r="M57" s="89"/>
      <c r="O57" t="str">
        <f t="shared" si="5"/>
        <v>329</v>
      </c>
      <c r="P57" t="str">
        <f t="shared" si="6"/>
        <v>32</v>
      </c>
      <c r="Q57" t="str">
        <f t="shared" si="7"/>
        <v>43</v>
      </c>
      <c r="R57" t="str">
        <f t="shared" si="8"/>
        <v>94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>08006</v>
      </c>
      <c r="B58" s="85" t="str">
        <f>IF(C58="","",VLOOKUP('OPĆI DIO'!$C$3,'OPĆI DIO'!$L$6:$U$138,9,FALSE))</f>
        <v>Sveučilišta i veleučilišta u Republici Hrvatskoj</v>
      </c>
      <c r="C58" s="90">
        <v>43</v>
      </c>
      <c r="D58" s="85" t="str">
        <f t="shared" si="1"/>
        <v>Ostali prihodi za posebne namjene</v>
      </c>
      <c r="E58" s="90">
        <v>3431</v>
      </c>
      <c r="F58" s="85" t="str">
        <f t="shared" si="2"/>
        <v>Bankarske usluge i usluge platnog prometa</v>
      </c>
      <c r="G58" s="123" t="s">
        <v>145</v>
      </c>
      <c r="H58" s="85" t="str">
        <f t="shared" si="3"/>
        <v>REDOVNA DJELATNOST SVEUČILIŠTA U ZAGREBU (IZ EVIDENCIJSKIH PRIHODA)</v>
      </c>
      <c r="I58" s="85" t="str">
        <f t="shared" si="4"/>
        <v>0942</v>
      </c>
      <c r="J58" s="122">
        <v>3086</v>
      </c>
      <c r="K58" s="122">
        <v>3085</v>
      </c>
      <c r="L58" s="122">
        <v>3086</v>
      </c>
      <c r="M58" s="89"/>
      <c r="O58" t="str">
        <f t="shared" si="5"/>
        <v>343</v>
      </c>
      <c r="P58" t="str">
        <f t="shared" si="6"/>
        <v>34</v>
      </c>
      <c r="Q58" t="str">
        <f t="shared" si="7"/>
        <v>43</v>
      </c>
      <c r="R58" t="str">
        <f t="shared" si="8"/>
        <v>94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>08006</v>
      </c>
      <c r="B59" s="85" t="str">
        <f>IF(C59="","",VLOOKUP('OPĆI DIO'!$C$3,'OPĆI DIO'!$L$6:$U$138,9,FALSE))</f>
        <v>Sveučilišta i veleučilišta u Republici Hrvatskoj</v>
      </c>
      <c r="C59" s="90">
        <v>43</v>
      </c>
      <c r="D59" s="85" t="str">
        <f t="shared" si="1"/>
        <v>Ostali prihodi za posebne namjene</v>
      </c>
      <c r="E59" s="90">
        <v>3432</v>
      </c>
      <c r="F59" s="85" t="str">
        <f t="shared" si="2"/>
        <v>Negativne tečajne razlike i razlike zbog primjene valutne kl</v>
      </c>
      <c r="G59" s="123" t="s">
        <v>145</v>
      </c>
      <c r="H59" s="85" t="str">
        <f t="shared" si="3"/>
        <v>REDOVNA DJELATNOST SVEUČILIŠTA U ZAGREBU (IZ EVIDENCIJSKIH PRIHODA)</v>
      </c>
      <c r="I59" s="85" t="str">
        <f t="shared" si="4"/>
        <v>0942</v>
      </c>
      <c r="J59" s="122">
        <v>265</v>
      </c>
      <c r="K59" s="122">
        <v>265</v>
      </c>
      <c r="L59" s="122">
        <v>265</v>
      </c>
      <c r="M59" s="89"/>
      <c r="O59" t="str">
        <f t="shared" si="5"/>
        <v>343</v>
      </c>
      <c r="P59" t="str">
        <f t="shared" si="6"/>
        <v>34</v>
      </c>
      <c r="Q59" t="str">
        <f t="shared" si="7"/>
        <v>43</v>
      </c>
      <c r="R59" t="str">
        <f t="shared" si="8"/>
        <v>94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>08006</v>
      </c>
      <c r="B60" s="85" t="str">
        <f>IF(C60="","",VLOOKUP('OPĆI DIO'!$C$3,'OPĆI DIO'!$L$6:$U$138,9,FALSE))</f>
        <v>Sveučilišta i veleučilišta u Republici Hrvatskoj</v>
      </c>
      <c r="C60" s="90">
        <v>43</v>
      </c>
      <c r="D60" s="85" t="str">
        <f t="shared" si="1"/>
        <v>Ostali prihodi za posebne namjene</v>
      </c>
      <c r="E60" s="90">
        <v>4221</v>
      </c>
      <c r="F60" s="85" t="str">
        <f t="shared" si="2"/>
        <v>Uredska oprema i namještaj</v>
      </c>
      <c r="G60" s="123" t="s">
        <v>145</v>
      </c>
      <c r="H60" s="85" t="str">
        <f t="shared" si="3"/>
        <v>REDOVNA DJELATNOST SVEUČILIŠTA U ZAGREBU (IZ EVIDENCIJSKIH PRIHODA)</v>
      </c>
      <c r="I60" s="85" t="str">
        <f t="shared" si="4"/>
        <v>0942</v>
      </c>
      <c r="J60" s="122">
        <v>20572</v>
      </c>
      <c r="K60" s="122">
        <v>27209</v>
      </c>
      <c r="L60" s="122">
        <v>27208</v>
      </c>
      <c r="M60" s="89"/>
      <c r="O60" t="str">
        <f t="shared" si="5"/>
        <v>422</v>
      </c>
      <c r="P60" t="str">
        <f t="shared" si="6"/>
        <v>42</v>
      </c>
      <c r="Q60" t="str">
        <f t="shared" si="7"/>
        <v>43</v>
      </c>
      <c r="R60" t="str">
        <f t="shared" si="8"/>
        <v>94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>08006</v>
      </c>
      <c r="B61" s="85" t="str">
        <f>IF(C61="","",VLOOKUP('OPĆI DIO'!$C$3,'OPĆI DIO'!$L$6:$U$138,9,FALSE))</f>
        <v>Sveučilišta i veleučilišta u Republici Hrvatskoj</v>
      </c>
      <c r="C61" s="90">
        <v>43</v>
      </c>
      <c r="D61" s="85" t="str">
        <f t="shared" si="1"/>
        <v>Ostali prihodi za posebne namjene</v>
      </c>
      <c r="E61" s="90">
        <v>4222</v>
      </c>
      <c r="F61" s="85" t="str">
        <f t="shared" si="2"/>
        <v>Komunikacijska oprema</v>
      </c>
      <c r="G61" s="123" t="s">
        <v>145</v>
      </c>
      <c r="H61" s="85" t="str">
        <f t="shared" si="3"/>
        <v>REDOVNA DJELATNOST SVEUČILIŠTA U ZAGREBU (IZ EVIDENCIJSKIH PRIHODA)</v>
      </c>
      <c r="I61" s="85" t="str">
        <f t="shared" si="4"/>
        <v>0942</v>
      </c>
      <c r="J61" s="122">
        <v>5309</v>
      </c>
      <c r="K61" s="122">
        <v>5309</v>
      </c>
      <c r="L61" s="122">
        <v>5309</v>
      </c>
      <c r="M61" s="89"/>
      <c r="O61" t="str">
        <f t="shared" si="5"/>
        <v>422</v>
      </c>
      <c r="P61" t="str">
        <f t="shared" si="6"/>
        <v>42</v>
      </c>
      <c r="Q61" t="str">
        <f t="shared" si="7"/>
        <v>43</v>
      </c>
      <c r="R61" t="str">
        <f t="shared" si="8"/>
        <v>94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>08006</v>
      </c>
      <c r="B62" s="85" t="str">
        <f>IF(C62="","",VLOOKUP('OPĆI DIO'!$C$3,'OPĆI DIO'!$L$6:$U$138,9,FALSE))</f>
        <v>Sveučilišta i veleučilišta u Republici Hrvatskoj</v>
      </c>
      <c r="C62" s="90">
        <v>43</v>
      </c>
      <c r="D62" s="85" t="str">
        <f t="shared" si="1"/>
        <v>Ostali prihodi za posebne namjene</v>
      </c>
      <c r="E62" s="90">
        <v>4223</v>
      </c>
      <c r="F62" s="85" t="str">
        <f t="shared" si="2"/>
        <v>Oprema za održavanje i zaštitu</v>
      </c>
      <c r="G62" s="123" t="s">
        <v>145</v>
      </c>
      <c r="H62" s="85" t="str">
        <f t="shared" si="3"/>
        <v>REDOVNA DJELATNOST SVEUČILIŠTA U ZAGREBU (IZ EVIDENCIJSKIH PRIHODA)</v>
      </c>
      <c r="I62" s="85" t="str">
        <f t="shared" si="4"/>
        <v>0942</v>
      </c>
      <c r="J62" s="122">
        <v>17254</v>
      </c>
      <c r="K62" s="122">
        <v>3982</v>
      </c>
      <c r="L62" s="122">
        <v>3982</v>
      </c>
      <c r="M62" s="89"/>
      <c r="O62" t="str">
        <f t="shared" si="5"/>
        <v>422</v>
      </c>
      <c r="P62" t="str">
        <f t="shared" si="6"/>
        <v>42</v>
      </c>
      <c r="Q62" t="str">
        <f t="shared" si="7"/>
        <v>43</v>
      </c>
      <c r="R62" t="str">
        <f t="shared" si="8"/>
        <v>94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>08006</v>
      </c>
      <c r="B63" s="85" t="str">
        <f>IF(C63="","",VLOOKUP('OPĆI DIO'!$C$3,'OPĆI DIO'!$L$6:$U$138,9,FALSE))</f>
        <v>Sveučilišta i veleučilišta u Republici Hrvatskoj</v>
      </c>
      <c r="C63" s="90">
        <v>43</v>
      </c>
      <c r="D63" s="85" t="str">
        <f t="shared" si="1"/>
        <v>Ostali prihodi za posebne namjene</v>
      </c>
      <c r="E63" s="90">
        <v>4224</v>
      </c>
      <c r="F63" s="85" t="str">
        <f t="shared" si="2"/>
        <v>Medicinska i laboratorijska oprema</v>
      </c>
      <c r="G63" s="123" t="s">
        <v>145</v>
      </c>
      <c r="H63" s="85" t="str">
        <f t="shared" si="3"/>
        <v>REDOVNA DJELATNOST SVEUČILIŠTA U ZAGREBU (IZ EVIDENCIJSKIH PRIHODA)</v>
      </c>
      <c r="I63" s="85" t="str">
        <f t="shared" si="4"/>
        <v>0942</v>
      </c>
      <c r="J63" s="122">
        <v>19909</v>
      </c>
      <c r="K63" s="122">
        <v>19908</v>
      </c>
      <c r="L63" s="122">
        <v>19909</v>
      </c>
      <c r="M63" s="89"/>
      <c r="O63" t="str">
        <f t="shared" si="5"/>
        <v>422</v>
      </c>
      <c r="P63" t="str">
        <f t="shared" si="6"/>
        <v>42</v>
      </c>
      <c r="Q63" t="str">
        <f t="shared" si="7"/>
        <v>43</v>
      </c>
      <c r="R63" t="str">
        <f t="shared" si="8"/>
        <v>94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>08006</v>
      </c>
      <c r="B64" s="85" t="str">
        <f>IF(C64="","",VLOOKUP('OPĆI DIO'!$C$3,'OPĆI DIO'!$L$6:$U$138,9,FALSE))</f>
        <v>Sveučilišta i veleučilišta u Republici Hrvatskoj</v>
      </c>
      <c r="C64" s="90">
        <v>43</v>
      </c>
      <c r="D64" s="85" t="str">
        <f t="shared" si="1"/>
        <v>Ostali prihodi za posebne namjene</v>
      </c>
      <c r="E64" s="90">
        <v>4226</v>
      </c>
      <c r="F64" s="85" t="str">
        <f t="shared" si="2"/>
        <v>Sportska i glazbena oprema</v>
      </c>
      <c r="G64" s="123" t="s">
        <v>145</v>
      </c>
      <c r="H64" s="85" t="str">
        <f t="shared" si="3"/>
        <v>REDOVNA DJELATNOST SVEUČILIŠTA U ZAGREBU (IZ EVIDENCIJSKIH PRIHODA)</v>
      </c>
      <c r="I64" s="85" t="str">
        <f t="shared" si="4"/>
        <v>0942</v>
      </c>
      <c r="J64" s="122">
        <v>3982</v>
      </c>
      <c r="K64" s="122">
        <v>3982</v>
      </c>
      <c r="L64" s="122">
        <v>3982</v>
      </c>
      <c r="M64" s="89"/>
      <c r="O64" t="str">
        <f t="shared" si="5"/>
        <v>422</v>
      </c>
      <c r="P64" t="str">
        <f t="shared" si="6"/>
        <v>42</v>
      </c>
      <c r="Q64" t="str">
        <f t="shared" si="7"/>
        <v>43</v>
      </c>
      <c r="R64" t="str">
        <f t="shared" si="8"/>
        <v>94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>08006</v>
      </c>
      <c r="B65" s="85" t="str">
        <f>IF(C65="","",VLOOKUP('OPĆI DIO'!$C$3,'OPĆI DIO'!$L$6:$U$138,9,FALSE))</f>
        <v>Sveučilišta i veleučilišta u Republici Hrvatskoj</v>
      </c>
      <c r="C65" s="90">
        <v>43</v>
      </c>
      <c r="D65" s="85" t="str">
        <f t="shared" si="1"/>
        <v>Ostali prihodi za posebne namjene</v>
      </c>
      <c r="E65" s="90">
        <v>4241</v>
      </c>
      <c r="F65" s="85" t="str">
        <f t="shared" si="2"/>
        <v>Knjige</v>
      </c>
      <c r="G65" s="123" t="s">
        <v>145</v>
      </c>
      <c r="H65" s="85" t="str">
        <f t="shared" si="3"/>
        <v>REDOVNA DJELATNOST SVEUČILIŠTA U ZAGREBU (IZ EVIDENCIJSKIH PRIHODA)</v>
      </c>
      <c r="I65" s="85" t="str">
        <f t="shared" si="4"/>
        <v>0942</v>
      </c>
      <c r="J65" s="122">
        <v>3982</v>
      </c>
      <c r="K65" s="122">
        <v>3982</v>
      </c>
      <c r="L65" s="122">
        <v>3982</v>
      </c>
      <c r="M65" s="89"/>
      <c r="O65" t="str">
        <f t="shared" si="5"/>
        <v>424</v>
      </c>
      <c r="P65" t="str">
        <f t="shared" si="6"/>
        <v>42</v>
      </c>
      <c r="Q65" t="str">
        <f t="shared" si="7"/>
        <v>43</v>
      </c>
      <c r="R65" t="str">
        <f t="shared" si="8"/>
        <v>94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>08006</v>
      </c>
      <c r="B66" s="85" t="str">
        <f>IF(C66="","",VLOOKUP('OPĆI DIO'!$C$3,'OPĆI DIO'!$L$6:$U$138,9,FALSE))</f>
        <v>Sveučilišta i veleučilišta u Republici Hrvatskoj</v>
      </c>
      <c r="C66" s="90">
        <v>43</v>
      </c>
      <c r="D66" s="85" t="str">
        <f t="shared" si="1"/>
        <v>Ostali prihodi za posebne namjene</v>
      </c>
      <c r="E66" s="90">
        <v>3295</v>
      </c>
      <c r="F66" s="85" t="str">
        <f t="shared" si="2"/>
        <v>Pristojbe i naknade</v>
      </c>
      <c r="G66" s="123" t="s">
        <v>145</v>
      </c>
      <c r="H66" s="85" t="str">
        <f t="shared" si="3"/>
        <v>REDOVNA DJELATNOST SVEUČILIŠTA U ZAGREBU (IZ EVIDENCIJSKIH PRIHODA)</v>
      </c>
      <c r="I66" s="85" t="str">
        <f t="shared" si="4"/>
        <v>0942</v>
      </c>
      <c r="J66" s="122">
        <v>3440</v>
      </c>
      <c r="K66" s="122">
        <v>3440</v>
      </c>
      <c r="L66" s="122">
        <v>3440</v>
      </c>
      <c r="M66" s="89"/>
      <c r="O66" t="str">
        <f t="shared" si="5"/>
        <v>329</v>
      </c>
      <c r="P66" t="str">
        <f t="shared" si="6"/>
        <v>32</v>
      </c>
      <c r="Q66" t="str">
        <f t="shared" si="7"/>
        <v>43</v>
      </c>
      <c r="R66" t="str">
        <f t="shared" si="8"/>
        <v>94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>08006</v>
      </c>
      <c r="B67" s="85" t="str">
        <f>IF(C67="","",VLOOKUP('OPĆI DIO'!$C$3,'OPĆI DIO'!$L$6:$U$138,9,FALSE))</f>
        <v>Sveučilišta i veleučilišta u Republici Hrvatskoj</v>
      </c>
      <c r="C67" s="90">
        <v>43</v>
      </c>
      <c r="D67" s="85" t="str">
        <f t="shared" ref="D67:D130" si="13">IFERROR(VLOOKUP(C67,$S$6:$T$24,2,FALSE),"")</f>
        <v>Ostali prihodi za posebne namjene</v>
      </c>
      <c r="E67" s="90">
        <v>4227</v>
      </c>
      <c r="F67" s="85" t="str">
        <f t="shared" si="2"/>
        <v>Uređaji, strojevi i oprema za ostale namjene</v>
      </c>
      <c r="G67" s="123" t="s">
        <v>145</v>
      </c>
      <c r="H67" s="85" t="str">
        <f t="shared" si="3"/>
        <v>REDOVNA DJELATNOST SVEUČILIŠTA U ZAGREBU (IZ EVIDENCIJSKIH PRIHODA)</v>
      </c>
      <c r="I67" s="85" t="str">
        <f t="shared" si="4"/>
        <v>0942</v>
      </c>
      <c r="J67" s="122"/>
      <c r="K67" s="122">
        <v>19908</v>
      </c>
      <c r="L67" s="122"/>
      <c r="M67" s="89"/>
      <c r="O67" t="str">
        <f t="shared" si="5"/>
        <v>422</v>
      </c>
      <c r="P67" t="str">
        <f t="shared" si="6"/>
        <v>42</v>
      </c>
      <c r="Q67" t="str">
        <f t="shared" si="7"/>
        <v>43</v>
      </c>
      <c r="R67" t="str">
        <f t="shared" si="8"/>
        <v>94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>08006</v>
      </c>
      <c r="B68" s="85" t="str">
        <f>IF(C68="","",VLOOKUP('OPĆI DIO'!$C$3,'OPĆI DIO'!$L$6:$U$138,9,FALSE))</f>
        <v>Sveučilišta i veleučilišta u Republici Hrvatskoj</v>
      </c>
      <c r="C68" s="90">
        <v>52</v>
      </c>
      <c r="D68" s="85" t="str">
        <f t="shared" si="13"/>
        <v>Ostale pomoći</v>
      </c>
      <c r="E68" s="90">
        <v>3111</v>
      </c>
      <c r="F68" s="85" t="str">
        <f t="shared" ref="F68:F131" si="14">IFERROR(VLOOKUP(E68,$V$5:$X$129,2,FALSE),"")</f>
        <v>Plaće za redovan rad</v>
      </c>
      <c r="G68" s="123" t="s">
        <v>145</v>
      </c>
      <c r="H68" s="85" t="str">
        <f t="shared" ref="H68:H131" si="15">IFERROR(VLOOKUP(G68,$AB$6:$AC$327,2,FALSE),"")</f>
        <v>REDOVNA DJELATNOST SVEUČILIŠTA U ZAGREBU (IZ EVIDENCIJSKIH PRIHODA)</v>
      </c>
      <c r="I68" s="85" t="str">
        <f t="shared" ref="I68:I131" si="16">IFERROR(VLOOKUP(G68,$AB$6:$AF$327,3,FALSE),"")</f>
        <v>0942</v>
      </c>
      <c r="J68" s="122">
        <v>64408</v>
      </c>
      <c r="K68" s="122">
        <v>50116</v>
      </c>
      <c r="L68" s="122">
        <v>12958</v>
      </c>
      <c r="M68" s="89"/>
      <c r="O68" t="str">
        <f t="shared" ref="O68:O131" si="17">LEFT(E68,3)</f>
        <v>311</v>
      </c>
      <c r="P68" t="str">
        <f t="shared" ref="P68:P131" si="18">LEFT(E68,2)</f>
        <v>31</v>
      </c>
      <c r="Q68" t="str">
        <f t="shared" ref="Q68:Q131" si="19">LEFT(C68,3)</f>
        <v>52</v>
      </c>
      <c r="R68" t="str">
        <f t="shared" ref="R68:R131" si="20">MID(I68,2,2)</f>
        <v>94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>08006</v>
      </c>
      <c r="B69" s="85" t="str">
        <f>IF(C69="","",VLOOKUP('OPĆI DIO'!$C$3,'OPĆI DIO'!$L$6:$U$138,9,FALSE))</f>
        <v>Sveučilišta i veleučilišta u Republici Hrvatskoj</v>
      </c>
      <c r="C69" s="90">
        <v>52</v>
      </c>
      <c r="D69" s="85" t="str">
        <f t="shared" si="13"/>
        <v>Ostale pomoći</v>
      </c>
      <c r="E69" s="90">
        <v>3121</v>
      </c>
      <c r="F69" s="85" t="str">
        <f t="shared" si="14"/>
        <v>Ostali rashodi za zaposlene</v>
      </c>
      <c r="G69" s="123" t="s">
        <v>145</v>
      </c>
      <c r="H69" s="85" t="str">
        <f t="shared" si="15"/>
        <v>REDOVNA DJELATNOST SVEUČILIŠTA U ZAGREBU (IZ EVIDENCIJSKIH PRIHODA)</v>
      </c>
      <c r="I69" s="85" t="str">
        <f t="shared" si="16"/>
        <v>0942</v>
      </c>
      <c r="J69" s="122">
        <v>3318</v>
      </c>
      <c r="K69" s="122">
        <v>3318</v>
      </c>
      <c r="L69" s="122">
        <v>664</v>
      </c>
      <c r="M69" s="89"/>
      <c r="O69" t="str">
        <f t="shared" si="17"/>
        <v>312</v>
      </c>
      <c r="P69" t="str">
        <f t="shared" si="18"/>
        <v>31</v>
      </c>
      <c r="Q69" t="str">
        <f t="shared" si="19"/>
        <v>52</v>
      </c>
      <c r="R69" t="str">
        <f t="shared" si="20"/>
        <v>94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>08006</v>
      </c>
      <c r="B70" s="85" t="str">
        <f>IF(C70="","",VLOOKUP('OPĆI DIO'!$C$3,'OPĆI DIO'!$L$6:$U$138,9,FALSE))</f>
        <v>Sveučilišta i veleučilišta u Republici Hrvatskoj</v>
      </c>
      <c r="C70" s="90">
        <v>52</v>
      </c>
      <c r="D70" s="85" t="str">
        <f t="shared" si="13"/>
        <v>Ostale pomoći</v>
      </c>
      <c r="E70" s="90">
        <v>3132</v>
      </c>
      <c r="F70" s="85" t="str">
        <f t="shared" si="14"/>
        <v>Doprinosi za obvezno zdravstveno osiguranje</v>
      </c>
      <c r="G70" s="123" t="s">
        <v>145</v>
      </c>
      <c r="H70" s="85" t="str">
        <f t="shared" si="15"/>
        <v>REDOVNA DJELATNOST SVEUČILIŠTA U ZAGREBU (IZ EVIDENCIJSKIH PRIHODA)</v>
      </c>
      <c r="I70" s="85" t="str">
        <f t="shared" si="16"/>
        <v>0942</v>
      </c>
      <c r="J70" s="122">
        <v>10627</v>
      </c>
      <c r="K70" s="122">
        <v>8269</v>
      </c>
      <c r="L70" s="122">
        <v>2137</v>
      </c>
      <c r="M70" s="89"/>
      <c r="O70" t="str">
        <f t="shared" si="17"/>
        <v>313</v>
      </c>
      <c r="P70" t="str">
        <f t="shared" si="18"/>
        <v>31</v>
      </c>
      <c r="Q70" t="str">
        <f t="shared" si="19"/>
        <v>52</v>
      </c>
      <c r="R70" t="str">
        <f t="shared" si="20"/>
        <v>94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>08006</v>
      </c>
      <c r="B71" s="85" t="str">
        <f>IF(C71="","",VLOOKUP('OPĆI DIO'!$C$3,'OPĆI DIO'!$L$6:$U$138,9,FALSE))</f>
        <v>Sveučilišta i veleučilišta u Republici Hrvatskoj</v>
      </c>
      <c r="C71" s="90">
        <v>52</v>
      </c>
      <c r="D71" s="85" t="str">
        <f t="shared" si="13"/>
        <v>Ostale pomoći</v>
      </c>
      <c r="E71" s="90">
        <v>3212</v>
      </c>
      <c r="F71" s="85" t="str">
        <f t="shared" si="14"/>
        <v>Naknade za prijevoz, za rad na terenu i odvojeni život</v>
      </c>
      <c r="G71" s="123" t="s">
        <v>145</v>
      </c>
      <c r="H71" s="85" t="str">
        <f t="shared" si="15"/>
        <v>REDOVNA DJELATNOST SVEUČILIŠTA U ZAGREBU (IZ EVIDENCIJSKIH PRIHODA)</v>
      </c>
      <c r="I71" s="85" t="str">
        <f t="shared" si="16"/>
        <v>0942</v>
      </c>
      <c r="J71" s="122">
        <v>2310</v>
      </c>
      <c r="K71" s="122">
        <v>2309</v>
      </c>
      <c r="L71" s="122">
        <v>461</v>
      </c>
      <c r="M71" s="89"/>
      <c r="O71" t="str">
        <f t="shared" si="17"/>
        <v>321</v>
      </c>
      <c r="P71" t="str">
        <f t="shared" si="18"/>
        <v>32</v>
      </c>
      <c r="Q71" t="str">
        <f t="shared" si="19"/>
        <v>52</v>
      </c>
      <c r="R71" t="str">
        <f t="shared" si="20"/>
        <v>94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>08006</v>
      </c>
      <c r="B72" s="85" t="str">
        <f>IF(C72="","",VLOOKUP('OPĆI DIO'!$C$3,'OPĆI DIO'!$L$6:$U$138,9,FALSE))</f>
        <v>Sveučilišta i veleučilišta u Republici Hrvatskoj</v>
      </c>
      <c r="C72" s="90">
        <v>52</v>
      </c>
      <c r="D72" s="85" t="str">
        <f t="shared" si="13"/>
        <v>Ostale pomoći</v>
      </c>
      <c r="E72" s="90">
        <v>3237</v>
      </c>
      <c r="F72" s="85" t="str">
        <f t="shared" si="14"/>
        <v>Intelektualne i osobne usluge</v>
      </c>
      <c r="G72" s="123" t="s">
        <v>145</v>
      </c>
      <c r="H72" s="85" t="str">
        <f t="shared" si="15"/>
        <v>REDOVNA DJELATNOST SVEUČILIŠTA U ZAGREBU (IZ EVIDENCIJSKIH PRIHODA)</v>
      </c>
      <c r="I72" s="85" t="str">
        <f t="shared" si="16"/>
        <v>0942</v>
      </c>
      <c r="J72" s="122">
        <v>9344</v>
      </c>
      <c r="K72" s="122">
        <v>9344</v>
      </c>
      <c r="L72" s="122">
        <v>9344</v>
      </c>
      <c r="M72" s="89"/>
      <c r="O72" t="str">
        <f t="shared" si="17"/>
        <v>323</v>
      </c>
      <c r="P72" t="str">
        <f t="shared" si="18"/>
        <v>32</v>
      </c>
      <c r="Q72" t="str">
        <f t="shared" si="19"/>
        <v>52</v>
      </c>
      <c r="R72" t="str">
        <f t="shared" si="20"/>
        <v>94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>08006</v>
      </c>
      <c r="B73" s="85" t="str">
        <f>IF(C73="","",VLOOKUP('OPĆI DIO'!$C$3,'OPĆI DIO'!$L$6:$U$138,9,FALSE))</f>
        <v>Sveučilišta i veleučilišta u Republici Hrvatskoj</v>
      </c>
      <c r="C73" s="90">
        <v>52</v>
      </c>
      <c r="D73" s="85" t="str">
        <f t="shared" si="13"/>
        <v>Ostale pomoći</v>
      </c>
      <c r="E73" s="90">
        <v>3239</v>
      </c>
      <c r="F73" s="85" t="str">
        <f t="shared" si="14"/>
        <v>Ostale usluge</v>
      </c>
      <c r="G73" s="123" t="s">
        <v>145</v>
      </c>
      <c r="H73" s="85" t="str">
        <f t="shared" si="15"/>
        <v>REDOVNA DJELATNOST SVEUČILIŠTA U ZAGREBU (IZ EVIDENCIJSKIH PRIHODA)</v>
      </c>
      <c r="I73" s="85" t="str">
        <f t="shared" si="16"/>
        <v>0942</v>
      </c>
      <c r="J73" s="122">
        <v>4592</v>
      </c>
      <c r="K73" s="122">
        <v>10565</v>
      </c>
      <c r="L73" s="122">
        <v>4592</v>
      </c>
      <c r="M73" s="89"/>
      <c r="O73" t="str">
        <f t="shared" si="17"/>
        <v>323</v>
      </c>
      <c r="P73" t="str">
        <f t="shared" si="18"/>
        <v>32</v>
      </c>
      <c r="Q73" t="str">
        <f t="shared" si="19"/>
        <v>52</v>
      </c>
      <c r="R73" t="str">
        <f t="shared" si="20"/>
        <v>94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>08006</v>
      </c>
      <c r="B74" s="85" t="str">
        <f>IF(C74="","",VLOOKUP('OPĆI DIO'!$C$3,'OPĆI DIO'!$L$6:$U$138,9,FALSE))</f>
        <v>Sveučilišta i veleučilišta u Republici Hrvatskoj</v>
      </c>
      <c r="C74" s="90">
        <v>52</v>
      </c>
      <c r="D74" s="85" t="str">
        <f t="shared" si="13"/>
        <v>Ostale pomoći</v>
      </c>
      <c r="E74" s="90">
        <v>4126</v>
      </c>
      <c r="F74" s="85" t="str">
        <f t="shared" si="14"/>
        <v>Ostala nematerijalna imovina</v>
      </c>
      <c r="G74" s="123" t="s">
        <v>145</v>
      </c>
      <c r="H74" s="85" t="str">
        <f t="shared" si="15"/>
        <v>REDOVNA DJELATNOST SVEUČILIŠTA U ZAGREBU (IZ EVIDENCIJSKIH PRIHODA)</v>
      </c>
      <c r="I74" s="85" t="str">
        <f t="shared" si="16"/>
        <v>0942</v>
      </c>
      <c r="J74" s="122">
        <v>1659035</v>
      </c>
      <c r="K74" s="122">
        <v>2919902</v>
      </c>
      <c r="L74" s="122">
        <v>2919902</v>
      </c>
      <c r="M74" s="89"/>
      <c r="O74" t="str">
        <f t="shared" si="17"/>
        <v>412</v>
      </c>
      <c r="P74" t="str">
        <f t="shared" si="18"/>
        <v>41</v>
      </c>
      <c r="Q74" t="str">
        <f t="shared" si="19"/>
        <v>52</v>
      </c>
      <c r="R74" t="str">
        <f t="shared" si="20"/>
        <v>94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>08006</v>
      </c>
      <c r="B75" s="85" t="str">
        <f>IF(C75="","",VLOOKUP('OPĆI DIO'!$C$3,'OPĆI DIO'!$L$6:$U$138,9,FALSE))</f>
        <v>Sveučilišta i veleučilišta u Republici Hrvatskoj</v>
      </c>
      <c r="C75" s="90">
        <v>52</v>
      </c>
      <c r="D75" s="85" t="str">
        <f t="shared" si="13"/>
        <v>Ostale pomoći</v>
      </c>
      <c r="E75" s="90">
        <v>4541</v>
      </c>
      <c r="F75" s="85" t="str">
        <f t="shared" si="14"/>
        <v>Dodatna ulaganja za ostalu nefinancijsku imovinu</v>
      </c>
      <c r="G75" s="123" t="s">
        <v>145</v>
      </c>
      <c r="H75" s="85" t="str">
        <f t="shared" si="15"/>
        <v>REDOVNA DJELATNOST SVEUČILIŠTA U ZAGREBU (IZ EVIDENCIJSKIH PRIHODA)</v>
      </c>
      <c r="I75" s="85" t="str">
        <f t="shared" si="16"/>
        <v>0942</v>
      </c>
      <c r="J75" s="122">
        <v>79634</v>
      </c>
      <c r="K75" s="122">
        <v>79634</v>
      </c>
      <c r="L75" s="122">
        <v>79634</v>
      </c>
      <c r="M75" s="89"/>
      <c r="O75" t="str">
        <f t="shared" si="17"/>
        <v>454</v>
      </c>
      <c r="P75" t="str">
        <f t="shared" si="18"/>
        <v>45</v>
      </c>
      <c r="Q75" t="str">
        <f t="shared" si="19"/>
        <v>52</v>
      </c>
      <c r="R75" t="str">
        <f t="shared" si="20"/>
        <v>94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>08006</v>
      </c>
      <c r="B76" s="85" t="str">
        <f>IF(C76="","",VLOOKUP('OPĆI DIO'!$C$3,'OPĆI DIO'!$L$6:$U$138,9,FALSE))</f>
        <v>Sveučilišta i veleučilišta u Republici Hrvatskoj</v>
      </c>
      <c r="C76" s="90">
        <v>71</v>
      </c>
      <c r="D76" s="85" t="str">
        <f t="shared" si="13"/>
        <v>Prihodi od nefin. imovine i nadoknade štete s osnova osig.</v>
      </c>
      <c r="E76" s="90">
        <v>4221</v>
      </c>
      <c r="F76" s="85" t="str">
        <f t="shared" si="14"/>
        <v>Uredska oprema i namještaj</v>
      </c>
      <c r="G76" s="123" t="s">
        <v>145</v>
      </c>
      <c r="H76" s="85" t="str">
        <f t="shared" si="15"/>
        <v>REDOVNA DJELATNOST SVEUČILIŠTA U ZAGREBU (IZ EVIDENCIJSKIH PRIHODA)</v>
      </c>
      <c r="I76" s="85" t="str">
        <f t="shared" si="16"/>
        <v>0942</v>
      </c>
      <c r="J76" s="122">
        <v>1327</v>
      </c>
      <c r="K76" s="122">
        <v>1327</v>
      </c>
      <c r="L76" s="122">
        <v>1327</v>
      </c>
      <c r="M76" s="89"/>
      <c r="O76" t="str">
        <f t="shared" si="17"/>
        <v>422</v>
      </c>
      <c r="P76" t="str">
        <f t="shared" si="18"/>
        <v>42</v>
      </c>
      <c r="Q76" t="str">
        <f t="shared" si="19"/>
        <v>71</v>
      </c>
      <c r="R76" t="str">
        <f t="shared" si="20"/>
        <v>94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3"/>
        <v/>
      </c>
      <c r="E77" s="90"/>
      <c r="F77" s="85" t="str">
        <f t="shared" si="14"/>
        <v/>
      </c>
      <c r="G77" s="123"/>
      <c r="H77" s="85" t="str">
        <f t="shared" si="15"/>
        <v/>
      </c>
      <c r="I77" s="85" t="str">
        <f t="shared" si="16"/>
        <v/>
      </c>
      <c r="J77" s="122"/>
      <c r="K77" s="122"/>
      <c r="L77" s="122"/>
      <c r="M77" s="89"/>
      <c r="O77" t="str">
        <f t="shared" si="17"/>
        <v/>
      </c>
      <c r="P77" t="str">
        <f t="shared" si="18"/>
        <v/>
      </c>
      <c r="Q77" t="str">
        <f t="shared" si="19"/>
        <v/>
      </c>
      <c r="R77" t="str">
        <f t="shared" si="20"/>
        <v/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3"/>
        <v/>
      </c>
      <c r="E78" s="90"/>
      <c r="F78" s="85" t="str">
        <f t="shared" si="14"/>
        <v/>
      </c>
      <c r="G78" s="123"/>
      <c r="H78" s="85" t="str">
        <f t="shared" si="15"/>
        <v/>
      </c>
      <c r="I78" s="85" t="str">
        <f t="shared" si="16"/>
        <v/>
      </c>
      <c r="J78" s="122"/>
      <c r="K78" s="122"/>
      <c r="L78" s="122"/>
      <c r="M78" s="89"/>
      <c r="O78" t="str">
        <f t="shared" si="17"/>
        <v/>
      </c>
      <c r="P78" t="str">
        <f t="shared" si="18"/>
        <v/>
      </c>
      <c r="Q78" t="str">
        <f t="shared" si="19"/>
        <v/>
      </c>
      <c r="R78" t="str">
        <f t="shared" si="20"/>
        <v/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3"/>
        <v/>
      </c>
      <c r="E79" s="90"/>
      <c r="F79" s="85" t="str">
        <f t="shared" si="14"/>
        <v/>
      </c>
      <c r="G79" s="123"/>
      <c r="H79" s="85" t="str">
        <f t="shared" si="15"/>
        <v/>
      </c>
      <c r="I79" s="85" t="str">
        <f t="shared" si="16"/>
        <v/>
      </c>
      <c r="J79" s="122"/>
      <c r="K79" s="122"/>
      <c r="L79" s="122"/>
      <c r="M79" s="89"/>
      <c r="O79" t="str">
        <f t="shared" si="17"/>
        <v/>
      </c>
      <c r="P79" t="str">
        <f t="shared" si="18"/>
        <v/>
      </c>
      <c r="Q79" t="str">
        <f t="shared" si="19"/>
        <v/>
      </c>
      <c r="R79" t="str">
        <f t="shared" si="20"/>
        <v/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3"/>
        <v/>
      </c>
      <c r="E80" s="90"/>
      <c r="F80" s="85" t="str">
        <f t="shared" si="14"/>
        <v/>
      </c>
      <c r="G80" s="123"/>
      <c r="H80" s="85" t="str">
        <f t="shared" si="15"/>
        <v/>
      </c>
      <c r="I80" s="85" t="str">
        <f t="shared" si="16"/>
        <v/>
      </c>
      <c r="J80" s="122"/>
      <c r="K80" s="122"/>
      <c r="L80" s="122"/>
      <c r="M80" s="89"/>
      <c r="O80" t="str">
        <f t="shared" si="17"/>
        <v/>
      </c>
      <c r="P80" t="str">
        <f t="shared" si="18"/>
        <v/>
      </c>
      <c r="Q80" t="str">
        <f t="shared" si="19"/>
        <v/>
      </c>
      <c r="R80" t="str">
        <f t="shared" si="20"/>
        <v/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3"/>
        <v/>
      </c>
      <c r="E81" s="90"/>
      <c r="F81" s="85" t="str">
        <f t="shared" si="14"/>
        <v/>
      </c>
      <c r="G81" s="123"/>
      <c r="H81" s="85" t="str">
        <f t="shared" si="15"/>
        <v/>
      </c>
      <c r="I81" s="85" t="str">
        <f t="shared" si="16"/>
        <v/>
      </c>
      <c r="J81" s="122"/>
      <c r="K81" s="122"/>
      <c r="L81" s="122"/>
      <c r="M81" s="89"/>
      <c r="O81" t="str">
        <f t="shared" si="17"/>
        <v/>
      </c>
      <c r="P81" t="str">
        <f t="shared" si="18"/>
        <v/>
      </c>
      <c r="Q81" t="str">
        <f t="shared" si="19"/>
        <v/>
      </c>
      <c r="R81" t="str">
        <f t="shared" si="20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3"/>
        <v/>
      </c>
      <c r="E82" s="90"/>
      <c r="F82" s="85" t="str">
        <f t="shared" si="14"/>
        <v/>
      </c>
      <c r="G82" s="123"/>
      <c r="H82" s="85" t="str">
        <f t="shared" si="15"/>
        <v/>
      </c>
      <c r="I82" s="85" t="str">
        <f t="shared" si="16"/>
        <v/>
      </c>
      <c r="J82" s="122"/>
      <c r="K82" s="122"/>
      <c r="L82" s="122"/>
      <c r="M82" s="89"/>
      <c r="O82" t="str">
        <f t="shared" si="17"/>
        <v/>
      </c>
      <c r="P82" t="str">
        <f t="shared" si="18"/>
        <v/>
      </c>
      <c r="Q82" t="str">
        <f t="shared" si="19"/>
        <v/>
      </c>
      <c r="R82" t="str">
        <f t="shared" si="20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3"/>
        <v/>
      </c>
      <c r="E83" s="90"/>
      <c r="F83" s="85" t="str">
        <f t="shared" si="14"/>
        <v/>
      </c>
      <c r="G83" s="123"/>
      <c r="H83" s="85" t="str">
        <f t="shared" si="15"/>
        <v/>
      </c>
      <c r="I83" s="85" t="str">
        <f t="shared" si="16"/>
        <v/>
      </c>
      <c r="J83" s="122"/>
      <c r="K83" s="122"/>
      <c r="L83" s="122"/>
      <c r="M83" s="89"/>
      <c r="O83" t="str">
        <f t="shared" si="17"/>
        <v/>
      </c>
      <c r="P83" t="str">
        <f t="shared" si="18"/>
        <v/>
      </c>
      <c r="Q83" t="str">
        <f t="shared" si="19"/>
        <v/>
      </c>
      <c r="R83" t="str">
        <f t="shared" si="20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3"/>
        <v/>
      </c>
      <c r="E84" s="90"/>
      <c r="F84" s="85" t="str">
        <f t="shared" si="14"/>
        <v/>
      </c>
      <c r="G84" s="123"/>
      <c r="H84" s="85" t="str">
        <f t="shared" si="15"/>
        <v/>
      </c>
      <c r="I84" s="85" t="str">
        <f t="shared" si="16"/>
        <v/>
      </c>
      <c r="J84" s="122"/>
      <c r="K84" s="122"/>
      <c r="L84" s="122"/>
      <c r="M84" s="89"/>
      <c r="O84" t="str">
        <f t="shared" si="17"/>
        <v/>
      </c>
      <c r="P84" t="str">
        <f t="shared" si="18"/>
        <v/>
      </c>
      <c r="Q84" t="str">
        <f t="shared" si="19"/>
        <v/>
      </c>
      <c r="R84" t="str">
        <f t="shared" si="20"/>
        <v/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7657608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100215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7757823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7757823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17" sqref="E17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8" t="s">
        <v>664</v>
      </c>
      <c r="B1" s="29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>
        <v>51</v>
      </c>
      <c r="B3" s="85" t="str">
        <f t="shared" ref="B3" si="0">IFERROR(VLOOKUP(A3,$U$6:$V$23,2,FALSE),"")</f>
        <v>Pomoći EU</v>
      </c>
      <c r="C3" s="90">
        <v>3681</v>
      </c>
      <c r="D3" s="85" t="str">
        <f>IFERROR(VLOOKUP(C3,$X$5:$Z$129,2,FALSE),"")</f>
        <v>Tekuće pomoći temeljem prijenosa EU sredstava</v>
      </c>
      <c r="E3" s="123" t="s">
        <v>2475</v>
      </c>
      <c r="F3" s="85" t="str">
        <f>IFERROR(VLOOKUP(E3,$AD$6:$AE$1090,2,FALSE),"")</f>
        <v>Projekt: Stvaranje mehanizama za kontinuiranu provedba sportskog kluba za zdravlje u Europskoj uniji</v>
      </c>
      <c r="G3" s="85" t="str">
        <f>IFERROR(VLOOKUP(E3,$AD$6:$AG$1090,4,FALSE),"")</f>
        <v>0942</v>
      </c>
      <c r="H3" s="122">
        <v>77056</v>
      </c>
      <c r="I3" s="122"/>
      <c r="J3" s="122"/>
      <c r="K3" s="135"/>
      <c r="L3" s="134"/>
      <c r="M3" s="134"/>
      <c r="N3" s="135"/>
      <c r="O3" s="266"/>
      <c r="P3" s="89"/>
      <c r="R3" t="str">
        <f>LEFT(C3,3)</f>
        <v>368</v>
      </c>
      <c r="S3" t="str">
        <f>LEFT(C3,2)</f>
        <v>36</v>
      </c>
      <c r="T3" t="str">
        <f>MID(G3,2,2)</f>
        <v>94</v>
      </c>
    </row>
    <row r="4" spans="1:33">
      <c r="A4" s="90">
        <v>51</v>
      </c>
      <c r="B4" s="85" t="str">
        <f t="shared" ref="B4:B67" si="1">IFERROR(VLOOKUP(A4,$U$6:$V$23,2,FALSE),"")</f>
        <v>Pomoći EU</v>
      </c>
      <c r="C4" s="90">
        <v>3211</v>
      </c>
      <c r="D4" s="85" t="str">
        <f t="shared" ref="D4:D67" si="2">IFERROR(VLOOKUP(C4,$X$5:$Z$129,2,FALSE),"")</f>
        <v>Službena putovanja</v>
      </c>
      <c r="E4" s="123" t="s">
        <v>3285</v>
      </c>
      <c r="F4" s="85" t="str">
        <f t="shared" ref="F4:F67" si="3">IFERROR(VLOOKUP(E4,$AD$6:$AE$1090,2,FALSE),"")</f>
        <v>ERASMUS+projekt Sky Easy</v>
      </c>
      <c r="G4" s="85" t="str">
        <f t="shared" ref="G4:G67" si="4">IFERROR(VLOOKUP(E4,$AD$6:$AG$1090,4,FALSE),"")</f>
        <v>0942</v>
      </c>
      <c r="H4" s="122">
        <v>2231</v>
      </c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>321</v>
      </c>
      <c r="S4" t="str">
        <f t="shared" ref="S4:S67" si="6">LEFT(C4,2)</f>
        <v>32</v>
      </c>
      <c r="T4" t="str">
        <f t="shared" ref="T4:T67" si="7">MID(G4,2,2)</f>
        <v>94</v>
      </c>
      <c r="X4" s="86"/>
      <c r="Y4" s="86"/>
    </row>
    <row r="5" spans="1:33">
      <c r="A5" s="90">
        <v>51</v>
      </c>
      <c r="B5" s="85" t="str">
        <f t="shared" si="1"/>
        <v>Pomoći EU</v>
      </c>
      <c r="C5" s="90">
        <v>3111</v>
      </c>
      <c r="D5" s="85" t="str">
        <f t="shared" si="2"/>
        <v>Plaće za redovan rad</v>
      </c>
      <c r="E5" s="123" t="s">
        <v>3285</v>
      </c>
      <c r="F5" s="85" t="str">
        <f t="shared" si="3"/>
        <v>ERASMUS+projekt Sky Easy</v>
      </c>
      <c r="G5" s="85" t="str">
        <f t="shared" si="4"/>
        <v>0942</v>
      </c>
      <c r="H5" s="122">
        <v>9611</v>
      </c>
      <c r="I5" s="122"/>
      <c r="J5" s="122"/>
      <c r="K5" s="135"/>
      <c r="L5" s="134"/>
      <c r="M5" s="134"/>
      <c r="N5" s="135"/>
      <c r="O5" s="266"/>
      <c r="P5" s="89"/>
      <c r="R5" t="str">
        <f t="shared" si="5"/>
        <v>311</v>
      </c>
      <c r="S5" t="str">
        <f t="shared" si="6"/>
        <v>31</v>
      </c>
      <c r="T5" t="str">
        <f t="shared" si="7"/>
        <v>94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>
        <v>51</v>
      </c>
      <c r="B6" s="85" t="str">
        <f t="shared" si="1"/>
        <v>Pomoći EU</v>
      </c>
      <c r="C6" s="90">
        <v>3239</v>
      </c>
      <c r="D6" s="85" t="str">
        <f t="shared" si="2"/>
        <v>Ostale usluge</v>
      </c>
      <c r="E6" s="123" t="s">
        <v>3285</v>
      </c>
      <c r="F6" s="85" t="str">
        <f t="shared" si="3"/>
        <v>ERASMUS+projekt Sky Easy</v>
      </c>
      <c r="G6" s="85" t="str">
        <f t="shared" si="4"/>
        <v>0942</v>
      </c>
      <c r="H6" s="122">
        <v>1585</v>
      </c>
      <c r="I6" s="122"/>
      <c r="J6" s="122"/>
      <c r="K6" s="135"/>
      <c r="L6" s="134"/>
      <c r="M6" s="134"/>
      <c r="N6" s="135"/>
      <c r="O6" s="266"/>
      <c r="P6" s="89"/>
      <c r="R6" t="str">
        <f t="shared" si="5"/>
        <v>323</v>
      </c>
      <c r="S6" t="str">
        <f t="shared" si="6"/>
        <v>32</v>
      </c>
      <c r="T6" t="str">
        <f t="shared" si="7"/>
        <v>94</v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>
        <v>51</v>
      </c>
      <c r="B7" s="85" t="str">
        <f t="shared" si="1"/>
        <v>Pomoći EU</v>
      </c>
      <c r="C7" s="90">
        <v>3239</v>
      </c>
      <c r="D7" s="85" t="str">
        <f t="shared" si="2"/>
        <v>Ostale usluge</v>
      </c>
      <c r="E7" s="123" t="s">
        <v>3287</v>
      </c>
      <c r="F7" s="85" t="str">
        <f t="shared" si="3"/>
        <v>ERASMUS+projekt Fit Old</v>
      </c>
      <c r="G7" s="85" t="str">
        <f t="shared" si="4"/>
        <v>0942</v>
      </c>
      <c r="H7" s="122">
        <v>4262</v>
      </c>
      <c r="I7" s="122"/>
      <c r="J7" s="122"/>
      <c r="K7" s="135"/>
      <c r="L7" s="134"/>
      <c r="M7" s="134"/>
      <c r="N7" s="135"/>
      <c r="O7" s="266"/>
      <c r="P7" s="89"/>
      <c r="R7" t="str">
        <f t="shared" si="5"/>
        <v>323</v>
      </c>
      <c r="S7" t="str">
        <f t="shared" si="6"/>
        <v>32</v>
      </c>
      <c r="T7" t="str">
        <f t="shared" si="7"/>
        <v>94</v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>
        <v>51</v>
      </c>
      <c r="B8" s="85" t="str">
        <f t="shared" si="1"/>
        <v>Pomoći EU</v>
      </c>
      <c r="C8" s="90">
        <v>3237</v>
      </c>
      <c r="D8" s="85" t="str">
        <f t="shared" si="2"/>
        <v>Intelektualne i osobne usluge</v>
      </c>
      <c r="E8" s="123" t="s">
        <v>3287</v>
      </c>
      <c r="F8" s="85" t="str">
        <f t="shared" si="3"/>
        <v>ERASMUS+projekt Fit Old</v>
      </c>
      <c r="G8" s="85" t="str">
        <f t="shared" si="4"/>
        <v>0942</v>
      </c>
      <c r="H8" s="122">
        <v>398</v>
      </c>
      <c r="I8" s="122"/>
      <c r="J8" s="122"/>
      <c r="K8" s="135"/>
      <c r="L8" s="134"/>
      <c r="M8" s="134"/>
      <c r="N8" s="135"/>
      <c r="O8" s="266"/>
      <c r="P8" s="89"/>
      <c r="R8" t="str">
        <f t="shared" si="5"/>
        <v>323</v>
      </c>
      <c r="S8" t="str">
        <f t="shared" si="6"/>
        <v>32</v>
      </c>
      <c r="T8" t="str">
        <f t="shared" si="7"/>
        <v>94</v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>
        <v>51</v>
      </c>
      <c r="B9" s="85" t="str">
        <f t="shared" si="1"/>
        <v>Pomoći EU</v>
      </c>
      <c r="C9" s="90">
        <v>3211</v>
      </c>
      <c r="D9" s="85" t="str">
        <f t="shared" si="2"/>
        <v>Službena putovanja</v>
      </c>
      <c r="E9" s="123" t="s">
        <v>3287</v>
      </c>
      <c r="F9" s="85" t="str">
        <f t="shared" si="3"/>
        <v>ERASMUS+projekt Fit Old</v>
      </c>
      <c r="G9" s="85" t="str">
        <f t="shared" si="4"/>
        <v>0942</v>
      </c>
      <c r="H9" s="122">
        <v>5072</v>
      </c>
      <c r="I9" s="122"/>
      <c r="J9" s="122"/>
      <c r="K9" s="135"/>
      <c r="L9" s="134"/>
      <c r="M9" s="134"/>
      <c r="N9" s="135"/>
      <c r="O9" s="266"/>
      <c r="P9" s="89"/>
      <c r="R9" t="str">
        <f t="shared" si="5"/>
        <v>321</v>
      </c>
      <c r="S9" t="str">
        <f t="shared" si="6"/>
        <v>32</v>
      </c>
      <c r="T9" t="str">
        <f t="shared" si="7"/>
        <v>94</v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D4" zoomScale="80" zoomScaleNormal="80" workbookViewId="0">
      <selection activeCell="H12" sqref="H12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3" ht="21" customHeight="1">
      <c r="B2" s="299" t="s">
        <v>5265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906571</v>
      </c>
      <c r="E5" s="3"/>
      <c r="F5" s="3"/>
      <c r="G5" s="3">
        <v>87148</v>
      </c>
      <c r="H5" s="3"/>
      <c r="I5" s="3">
        <v>550305</v>
      </c>
      <c r="J5" s="3">
        <v>126673</v>
      </c>
      <c r="K5" s="3">
        <v>0</v>
      </c>
      <c r="L5" s="3"/>
      <c r="M5" s="3"/>
      <c r="N5" s="3">
        <v>21177</v>
      </c>
      <c r="O5" s="3"/>
      <c r="P5" s="3"/>
      <c r="Q5" s="3"/>
      <c r="R5" s="3"/>
      <c r="S5" s="3"/>
      <c r="T5" s="3">
        <v>121268</v>
      </c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8041908</v>
      </c>
      <c r="E6" s="12">
        <f>+'A.1 PRIHODI'!E8</f>
        <v>4229463</v>
      </c>
      <c r="F6" s="12">
        <f>+'A.1 PRIHODI'!F8</f>
        <v>0</v>
      </c>
      <c r="G6" s="12">
        <f>+'A.1 PRIHODI'!G8</f>
        <v>195979</v>
      </c>
      <c r="H6" s="12">
        <f>+'A.1 PRIHODI'!H8</f>
        <v>0</v>
      </c>
      <c r="I6" s="12">
        <f>+'A.1 PRIHODI'!I8+'B. RAČUN FIN'!I6</f>
        <v>1397571</v>
      </c>
      <c r="J6" s="12">
        <f>+'A.1 PRIHODI'!J8</f>
        <v>252399</v>
      </c>
      <c r="K6" s="12">
        <f>+'A.1 PRIHODI'!K8</f>
        <v>1833268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131901</v>
      </c>
      <c r="U6" s="12">
        <f>+'A.1 PRIHODI'!U8</f>
        <v>0</v>
      </c>
      <c r="V6" s="12">
        <f>+'A.1 PRIHODI'!V8</f>
        <v>1327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-1190656</v>
      </c>
      <c r="E7" s="182"/>
      <c r="F7" s="182"/>
      <c r="G7" s="182">
        <v>-87148</v>
      </c>
      <c r="H7" s="182"/>
      <c r="I7" s="182">
        <v>-550305</v>
      </c>
      <c r="J7" s="182">
        <v>-278857</v>
      </c>
      <c r="K7" s="182"/>
      <c r="L7" s="182"/>
      <c r="M7" s="182"/>
      <c r="N7" s="182">
        <v>-21177</v>
      </c>
      <c r="O7" s="182"/>
      <c r="P7" s="182"/>
      <c r="Q7" s="182"/>
      <c r="R7" s="182"/>
      <c r="S7" s="182"/>
      <c r="T7" s="182">
        <v>-253169</v>
      </c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7757823</v>
      </c>
      <c r="E8" s="12">
        <f>+E5+E6+E7</f>
        <v>4229463</v>
      </c>
      <c r="F8" s="12">
        <f t="shared" ref="F8:W8" si="1">+F5+F6+F7</f>
        <v>0</v>
      </c>
      <c r="G8" s="12">
        <f t="shared" si="1"/>
        <v>195979</v>
      </c>
      <c r="H8" s="12">
        <f t="shared" si="1"/>
        <v>0</v>
      </c>
      <c r="I8" s="12">
        <f t="shared" si="1"/>
        <v>1397571</v>
      </c>
      <c r="J8" s="12">
        <f t="shared" si="1"/>
        <v>100215</v>
      </c>
      <c r="K8" s="12">
        <f t="shared" si="1"/>
        <v>1833268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1327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7757823</v>
      </c>
      <c r="E9" s="79">
        <f>+'A.2 RASHODI'!E4+'B. RAČUN FIN'!E11</f>
        <v>4229463</v>
      </c>
      <c r="F9" s="79">
        <f>+'A.2 RASHODI'!F4+'B. RAČUN FIN'!F11</f>
        <v>0</v>
      </c>
      <c r="G9" s="79">
        <f>+'A.2 RASHODI'!G4+'B. RAČUN FIN'!G11</f>
        <v>195979</v>
      </c>
      <c r="H9" s="79">
        <f>+'A.2 RASHODI'!H4+'B. RAČUN FIN'!H11</f>
        <v>0</v>
      </c>
      <c r="I9" s="79">
        <f>+'A.2 RASHODI'!I4+'B. RAČUN FIN'!I11</f>
        <v>1397571</v>
      </c>
      <c r="J9" s="79">
        <f>+'A.2 RASHODI'!J4+'B. RAČUN FIN'!J11</f>
        <v>100215</v>
      </c>
      <c r="K9" s="79">
        <f>+'A.2 RASHODI'!K4+'B. RAČUN FIN'!K11</f>
        <v>1833268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0</v>
      </c>
      <c r="U9" s="79">
        <f>+'A.2 RASHODI'!U4+'B. RAČUN FIN'!U11</f>
        <v>0</v>
      </c>
      <c r="V9" s="79">
        <f>+'A.2 RASHODI'!V4+'B. RAČUN FIN'!V11</f>
        <v>1327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1190656</v>
      </c>
      <c r="E13" s="125">
        <f t="shared" ref="E13:W13" si="4">-E7</f>
        <v>0</v>
      </c>
      <c r="F13" s="125">
        <f t="shared" si="4"/>
        <v>0</v>
      </c>
      <c r="G13" s="125">
        <f t="shared" si="4"/>
        <v>87148</v>
      </c>
      <c r="H13" s="125">
        <f t="shared" si="4"/>
        <v>0</v>
      </c>
      <c r="I13" s="125">
        <f t="shared" si="4"/>
        <v>550305</v>
      </c>
      <c r="J13" s="125">
        <f t="shared" si="4"/>
        <v>278857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21177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253169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9010830</v>
      </c>
      <c r="E14" s="12">
        <f>+'A.1 PRIHODI'!E22</f>
        <v>4247819</v>
      </c>
      <c r="F14" s="12">
        <f>+'A.1 PRIHODI'!F22</f>
        <v>0</v>
      </c>
      <c r="G14" s="12">
        <f>+'A.1 PRIHODI'!G22</f>
        <v>227567</v>
      </c>
      <c r="H14" s="12">
        <f>+'A.1 PRIHODI'!H22</f>
        <v>0</v>
      </c>
      <c r="I14" s="12">
        <f>+'A.1 PRIHODI'!I22+'B. RAČUN FIN'!I17</f>
        <v>1450660</v>
      </c>
      <c r="J14" s="12">
        <f>+'A.1 PRIHODI'!J22</f>
        <v>0</v>
      </c>
      <c r="K14" s="12">
        <f>+'A.1 PRIHODI'!K22</f>
        <v>3083457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1327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-1190656</v>
      </c>
      <c r="E15" s="62"/>
      <c r="F15" s="62"/>
      <c r="G15" s="62">
        <v>-87148</v>
      </c>
      <c r="H15" s="62"/>
      <c r="I15" s="62">
        <v>-550305</v>
      </c>
      <c r="J15" s="62">
        <v>-278857</v>
      </c>
      <c r="K15" s="62"/>
      <c r="L15" s="62"/>
      <c r="M15" s="3"/>
      <c r="N15" s="62">
        <v>-21177</v>
      </c>
      <c r="O15" s="62"/>
      <c r="P15" s="62"/>
      <c r="Q15" s="62"/>
      <c r="R15" s="62"/>
      <c r="S15" s="62"/>
      <c r="T15" s="62">
        <v>-253169</v>
      </c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9010830</v>
      </c>
      <c r="E16" s="12">
        <f>+E13+E14+E15</f>
        <v>4247819</v>
      </c>
      <c r="F16" s="12">
        <f t="shared" ref="F16:W16" si="5">+F13+F14+F15</f>
        <v>0</v>
      </c>
      <c r="G16" s="12">
        <f t="shared" si="5"/>
        <v>227567</v>
      </c>
      <c r="H16" s="12">
        <f t="shared" si="5"/>
        <v>0</v>
      </c>
      <c r="I16" s="12">
        <f t="shared" si="5"/>
        <v>1450660</v>
      </c>
      <c r="J16" s="12">
        <f t="shared" si="5"/>
        <v>0</v>
      </c>
      <c r="K16" s="12">
        <f t="shared" si="5"/>
        <v>3083457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1327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9010830</v>
      </c>
      <c r="E17" s="79">
        <f>+'A.2 RASHODI'!E21+'B. RAČUN FIN'!E22</f>
        <v>4247819</v>
      </c>
      <c r="F17" s="79">
        <f>+'A.2 RASHODI'!F21+'B. RAČUN FIN'!F22</f>
        <v>0</v>
      </c>
      <c r="G17" s="79">
        <f>+'A.2 RASHODI'!G21+'B. RAČUN FIN'!G22</f>
        <v>227567</v>
      </c>
      <c r="H17" s="79">
        <f>+'A.2 RASHODI'!H21+'B. RAČUN FIN'!H22</f>
        <v>0</v>
      </c>
      <c r="I17" s="79">
        <f>+'A.2 RASHODI'!I21+'B. RAČUN FIN'!I22</f>
        <v>1450660</v>
      </c>
      <c r="J17" s="79">
        <f>+'A.2 RASHODI'!J21+'B. RAČUN FIN'!J22</f>
        <v>0</v>
      </c>
      <c r="K17" s="79">
        <f>+'A.2 RASHODI'!K21+'B. RAČUN FIN'!K22</f>
        <v>3083457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1327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1190656</v>
      </c>
      <c r="E21" s="125">
        <f t="shared" ref="E21:W21" si="8">-E15</f>
        <v>0</v>
      </c>
      <c r="F21" s="125">
        <f t="shared" si="8"/>
        <v>0</v>
      </c>
      <c r="G21" s="125">
        <f t="shared" si="8"/>
        <v>87148</v>
      </c>
      <c r="H21" s="125">
        <f t="shared" si="8"/>
        <v>0</v>
      </c>
      <c r="I21" s="125">
        <f t="shared" si="8"/>
        <v>550305</v>
      </c>
      <c r="J21" s="125">
        <f t="shared" si="8"/>
        <v>278857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21177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253169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8890838</v>
      </c>
      <c r="E22" s="12">
        <f>+'A.1 PRIHODI'!E36</f>
        <v>4266269</v>
      </c>
      <c r="F22" s="12">
        <f>+'A.1 PRIHODI'!F36</f>
        <v>0</v>
      </c>
      <c r="G22" s="12">
        <f>+'A.1 PRIHODI'!G36</f>
        <v>195979</v>
      </c>
      <c r="H22" s="12">
        <f>+'A.1 PRIHODI'!H36</f>
        <v>0</v>
      </c>
      <c r="I22" s="12">
        <f>+'A.1 PRIHODI'!I36+'B. RAČUN FIN'!I28</f>
        <v>1397571</v>
      </c>
      <c r="J22" s="12">
        <f>+'A.1 PRIHODI'!J36</f>
        <v>0</v>
      </c>
      <c r="K22" s="12">
        <f>+'A.1 PRIHODI'!K36</f>
        <v>3029692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1327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-1190656</v>
      </c>
      <c r="E23" s="62"/>
      <c r="F23" s="62"/>
      <c r="G23" s="62">
        <v>-87148</v>
      </c>
      <c r="H23" s="62"/>
      <c r="I23" s="62">
        <v>-550305</v>
      </c>
      <c r="J23" s="62">
        <v>-278857</v>
      </c>
      <c r="K23" s="62"/>
      <c r="L23" s="62"/>
      <c r="M23" s="3"/>
      <c r="N23" s="62">
        <v>-21177</v>
      </c>
      <c r="O23" s="62"/>
      <c r="P23" s="62"/>
      <c r="Q23" s="62"/>
      <c r="R23" s="62"/>
      <c r="S23" s="62"/>
      <c r="T23" s="62">
        <v>-253169</v>
      </c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8890838</v>
      </c>
      <c r="E24" s="12">
        <f>+E21+E22+E23</f>
        <v>4266269</v>
      </c>
      <c r="F24" s="12">
        <f t="shared" ref="F24:W24" si="9">+F21+F22+F23</f>
        <v>0</v>
      </c>
      <c r="G24" s="12">
        <f t="shared" si="9"/>
        <v>195979</v>
      </c>
      <c r="H24" s="12">
        <f t="shared" si="9"/>
        <v>0</v>
      </c>
      <c r="I24" s="12">
        <f t="shared" si="9"/>
        <v>1397571</v>
      </c>
      <c r="J24" s="12">
        <f t="shared" si="9"/>
        <v>0</v>
      </c>
      <c r="K24" s="12">
        <f t="shared" si="9"/>
        <v>3029692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1327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8890838</v>
      </c>
      <c r="E25" s="79">
        <f>+'A.2 RASHODI'!E38+'B. RAČUN FIN'!E33</f>
        <v>4266269</v>
      </c>
      <c r="F25" s="79">
        <f>+'A.2 RASHODI'!F38+'B. RAČUN FIN'!F33</f>
        <v>0</v>
      </c>
      <c r="G25" s="79">
        <f>+'A.2 RASHODI'!G38+'B. RAČUN FIN'!G33</f>
        <v>195979</v>
      </c>
      <c r="H25" s="79">
        <f>+'A.2 RASHODI'!H38+'B. RAČUN FIN'!H33</f>
        <v>0</v>
      </c>
      <c r="I25" s="79">
        <f>+'A.2 RASHODI'!I38+'B. RAČUN FIN'!I33</f>
        <v>1397571</v>
      </c>
      <c r="J25" s="79">
        <f>+'A.2 RASHODI'!J38+'B. RAČUN FIN'!J33</f>
        <v>0</v>
      </c>
      <c r="K25" s="79">
        <f>+'A.2 RASHODI'!K38+'B. RAČUN FIN'!K33</f>
        <v>3029692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1327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.25" right="0.25" top="0.75" bottom="0.75" header="0.3" footer="0.3"/>
  <pageSetup paperSize="9" scale="4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299" t="s">
        <v>5087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2" ht="15.6" customHeight="1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2" ht="15.6" customHeight="1">
      <c r="B3" s="299" t="s">
        <v>5088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</row>
    <row r="4" spans="1:22" ht="15.6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</row>
    <row r="5" spans="1:22" ht="15.6" customHeight="1">
      <c r="B5" s="299" t="s">
        <v>5112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8041908</v>
      </c>
      <c r="E8" s="66">
        <f>+E19+E16</f>
        <v>4229463</v>
      </c>
      <c r="F8" s="66">
        <f>+F19+F16</f>
        <v>0</v>
      </c>
      <c r="G8" s="66">
        <f>+G19+G16</f>
        <v>195979</v>
      </c>
      <c r="H8" s="66">
        <f t="shared" ref="H8:V8" si="0">+H19+H16</f>
        <v>0</v>
      </c>
      <c r="I8" s="66">
        <f t="shared" si="0"/>
        <v>1397571</v>
      </c>
      <c r="J8" s="66">
        <f>+J19+J16</f>
        <v>252399</v>
      </c>
      <c r="K8" s="66">
        <f t="shared" si="0"/>
        <v>1833268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131901</v>
      </c>
      <c r="U8" s="66">
        <f t="shared" si="0"/>
        <v>0</v>
      </c>
      <c r="V8" s="66">
        <f t="shared" si="0"/>
        <v>1327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2085667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252399</v>
      </c>
      <c r="K10" s="126">
        <f>SUMIFS('Unos prihoda i primitaka'!$G$3:$G$501,'Unos prihoda i primitaka'!$C$3:$C$501,"=52",'Unos prihoda i primitaka'!$L$3:$L$501,"=63")</f>
        <v>1833268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1397571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1397571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327880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195979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131901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4229463</v>
      </c>
      <c r="E14" s="126">
        <f>SUMIFS('Unos prihoda i primitaka'!$G$3:$G$501,'Unos prihoda i primitaka'!$C$3:$C$501,"=11",'Unos prihoda i primitaka'!$L$3:$L$501,"=67")</f>
        <v>4229463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8040581</v>
      </c>
      <c r="E16" s="4">
        <f t="shared" ref="E16:V16" si="2">SUM(E9:E15)</f>
        <v>4229463</v>
      </c>
      <c r="F16" s="4">
        <f t="shared" si="2"/>
        <v>0</v>
      </c>
      <c r="G16" s="4">
        <f t="shared" si="2"/>
        <v>195979</v>
      </c>
      <c r="H16" s="4">
        <f t="shared" si="2"/>
        <v>0</v>
      </c>
      <c r="I16" s="4">
        <f t="shared" si="2"/>
        <v>1397571</v>
      </c>
      <c r="J16" s="4">
        <f t="shared" si="2"/>
        <v>252399</v>
      </c>
      <c r="K16" s="4">
        <f t="shared" si="2"/>
        <v>1833268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131901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1327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1327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1327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1327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9010830</v>
      </c>
      <c r="E22" s="66">
        <f t="shared" ref="E22:V22" si="4">+E33+E30</f>
        <v>4247819</v>
      </c>
      <c r="F22" s="66">
        <f t="shared" si="4"/>
        <v>0</v>
      </c>
      <c r="G22" s="66">
        <f t="shared" si="4"/>
        <v>227567</v>
      </c>
      <c r="H22" s="66">
        <f t="shared" si="4"/>
        <v>0</v>
      </c>
      <c r="I22" s="66">
        <f t="shared" si="4"/>
        <v>1450660</v>
      </c>
      <c r="J22" s="66">
        <f t="shared" si="4"/>
        <v>0</v>
      </c>
      <c r="K22" s="66">
        <f t="shared" si="4"/>
        <v>3083457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1327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3083457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3083457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1450660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1450660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227567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227567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4247819</v>
      </c>
      <c r="E28" s="126">
        <f>SUMIFS('Unos prihoda i primitaka'!$H$3:$H$501,'Unos prihoda i primitaka'!$C$3:$C$501,"=11",'Unos prihoda i primitaka'!$L$3:$L$501,"=67")</f>
        <v>4247819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9009503</v>
      </c>
      <c r="E30" s="4">
        <f t="shared" ref="E30:V30" si="6">SUM(E23:E29)</f>
        <v>4247819</v>
      </c>
      <c r="F30" s="4">
        <f t="shared" si="6"/>
        <v>0</v>
      </c>
      <c r="G30" s="4">
        <f t="shared" si="6"/>
        <v>227567</v>
      </c>
      <c r="H30" s="4">
        <f t="shared" si="6"/>
        <v>0</v>
      </c>
      <c r="I30" s="4">
        <f t="shared" si="6"/>
        <v>1450660</v>
      </c>
      <c r="J30" s="4">
        <f t="shared" si="6"/>
        <v>0</v>
      </c>
      <c r="K30" s="4">
        <f t="shared" si="6"/>
        <v>3083457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1327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1327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1327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1327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8890838</v>
      </c>
      <c r="E36" s="66">
        <f t="shared" ref="E36:V36" si="9">+E47+E44</f>
        <v>4266269</v>
      </c>
      <c r="F36" s="66">
        <f t="shared" si="9"/>
        <v>0</v>
      </c>
      <c r="G36" s="66">
        <f t="shared" si="9"/>
        <v>195979</v>
      </c>
      <c r="H36" s="66">
        <f t="shared" si="9"/>
        <v>0</v>
      </c>
      <c r="I36" s="66">
        <f t="shared" si="9"/>
        <v>1397571</v>
      </c>
      <c r="J36" s="66">
        <f t="shared" si="9"/>
        <v>0</v>
      </c>
      <c r="K36" s="66">
        <f t="shared" si="9"/>
        <v>3029692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1327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3029692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3029692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1397571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1397571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195979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195979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4266269</v>
      </c>
      <c r="E42" s="126">
        <f>SUMIFS('Unos prihoda i primitaka'!$I$3:$I$501,'Unos prihoda i primitaka'!$C$3:$C$501,"=11",'Unos prihoda i primitaka'!$L$3:$L$501,"=67")</f>
        <v>4266269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8889511</v>
      </c>
      <c r="E44" s="4">
        <f t="shared" ref="E44:V44" si="10">SUM(E37:E43)</f>
        <v>4266269</v>
      </c>
      <c r="F44" s="4">
        <f t="shared" si="10"/>
        <v>0</v>
      </c>
      <c r="G44" s="4">
        <f t="shared" si="10"/>
        <v>195979</v>
      </c>
      <c r="H44" s="4">
        <f t="shared" si="10"/>
        <v>0</v>
      </c>
      <c r="I44" s="4">
        <f t="shared" si="10"/>
        <v>1397571</v>
      </c>
      <c r="J44" s="4">
        <f t="shared" si="10"/>
        <v>0</v>
      </c>
      <c r="K44" s="4">
        <f t="shared" si="10"/>
        <v>3029692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1327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1327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1327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1327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9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299" t="s">
        <v>5114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7757823</v>
      </c>
      <c r="E4" s="67">
        <f>E5+E13</f>
        <v>4229463</v>
      </c>
      <c r="F4" s="67">
        <f t="shared" ref="F4:W4" si="0">F5+F13</f>
        <v>0</v>
      </c>
      <c r="G4" s="67">
        <f t="shared" si="0"/>
        <v>195979</v>
      </c>
      <c r="H4" s="67">
        <f t="shared" si="0"/>
        <v>0</v>
      </c>
      <c r="I4" s="67">
        <f t="shared" si="0"/>
        <v>1397571</v>
      </c>
      <c r="J4" s="67">
        <f t="shared" si="0"/>
        <v>100215</v>
      </c>
      <c r="K4" s="67">
        <f>K5+K13</f>
        <v>1833268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0</v>
      </c>
      <c r="U4" s="67">
        <f t="shared" si="0"/>
        <v>0</v>
      </c>
      <c r="V4" s="67">
        <f t="shared" si="0"/>
        <v>1327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5908015</v>
      </c>
      <c r="E5" s="75">
        <f t="shared" ref="E5:G5" si="2">SUM(E6:E12)</f>
        <v>4190659</v>
      </c>
      <c r="F5" s="75">
        <f t="shared" si="2"/>
        <v>0</v>
      </c>
      <c r="G5" s="75">
        <f t="shared" si="2"/>
        <v>195979</v>
      </c>
      <c r="H5" s="75">
        <f>SUM(H6:H12)</f>
        <v>0</v>
      </c>
      <c r="I5" s="75">
        <f t="shared" ref="I5:K5" si="3">SUM(I6:I12)</f>
        <v>1326563</v>
      </c>
      <c r="J5" s="75">
        <f t="shared" si="3"/>
        <v>100215</v>
      </c>
      <c r="K5" s="75">
        <f t="shared" si="3"/>
        <v>94599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4434064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3803043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33447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509610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9611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78353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1371191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365263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162532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813602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13548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16246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3351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3351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77056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77056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22353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22353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1849808</v>
      </c>
      <c r="E13" s="76">
        <f t="shared" ref="E13:G13" si="6">SUM(E14:E18)</f>
        <v>38804</v>
      </c>
      <c r="F13" s="76">
        <f t="shared" si="6"/>
        <v>0</v>
      </c>
      <c r="G13" s="76">
        <f t="shared" si="6"/>
        <v>0</v>
      </c>
      <c r="H13" s="76">
        <f>SUM(H14:H18)</f>
        <v>0</v>
      </c>
      <c r="I13" s="76">
        <f t="shared" ref="I13:K13" si="7">SUM(I14:I18)</f>
        <v>71008</v>
      </c>
      <c r="J13" s="76">
        <f t="shared" si="7"/>
        <v>0</v>
      </c>
      <c r="K13" s="76">
        <f t="shared" si="7"/>
        <v>1738669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1327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1659035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1659035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111139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38804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71008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1327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79634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79634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9010830</v>
      </c>
      <c r="E21" s="67">
        <f>+E22+E30</f>
        <v>4247819</v>
      </c>
      <c r="F21" s="67">
        <f t="shared" ref="F21:W21" si="11">+F22+F30</f>
        <v>0</v>
      </c>
      <c r="G21" s="67">
        <f t="shared" si="11"/>
        <v>227567</v>
      </c>
      <c r="H21" s="67">
        <f t="shared" si="11"/>
        <v>0</v>
      </c>
      <c r="I21" s="67">
        <f t="shared" si="11"/>
        <v>1450660</v>
      </c>
      <c r="J21" s="67">
        <f t="shared" si="11"/>
        <v>0</v>
      </c>
      <c r="K21" s="67">
        <f t="shared" si="11"/>
        <v>3083457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1327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5886883</v>
      </c>
      <c r="E22" s="75">
        <f t="shared" ref="E22:W22" si="12">SUM(E23:E29)</f>
        <v>4209015</v>
      </c>
      <c r="F22" s="75">
        <f t="shared" si="12"/>
        <v>0</v>
      </c>
      <c r="G22" s="75">
        <f t="shared" si="12"/>
        <v>227567</v>
      </c>
      <c r="H22" s="75">
        <f>SUM(H23:H29)</f>
        <v>0</v>
      </c>
      <c r="I22" s="75">
        <f t="shared" si="12"/>
        <v>1366380</v>
      </c>
      <c r="J22" s="75">
        <f t="shared" si="12"/>
        <v>0</v>
      </c>
      <c r="K22" s="75">
        <f t="shared" si="12"/>
        <v>83921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4450900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3821399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33447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534351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61703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1410280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365263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194120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828679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22218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3350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3350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22353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22353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3123947</v>
      </c>
      <c r="E30" s="76">
        <f t="shared" ref="E30:G30" si="13">SUM(E31:E35)</f>
        <v>38804</v>
      </c>
      <c r="F30" s="76">
        <f t="shared" si="13"/>
        <v>0</v>
      </c>
      <c r="G30" s="76">
        <f t="shared" si="13"/>
        <v>0</v>
      </c>
      <c r="H30" s="76">
        <f>SUM(H31:H35)</f>
        <v>0</v>
      </c>
      <c r="I30" s="76">
        <f t="shared" ref="I30:K30" si="14">SUM(I31:I35)</f>
        <v>84280</v>
      </c>
      <c r="J30" s="76">
        <f t="shared" si="14"/>
        <v>0</v>
      </c>
      <c r="K30" s="76">
        <f t="shared" si="14"/>
        <v>2999536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1327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2919902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2919902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124411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38804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84280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1327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79634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79634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8890838</v>
      </c>
      <c r="E38" s="67">
        <f>E39+E47</f>
        <v>4266269</v>
      </c>
      <c r="F38" s="67">
        <f t="shared" ref="F38:W38" si="18">F39+F47</f>
        <v>0</v>
      </c>
      <c r="G38" s="67">
        <f t="shared" si="18"/>
        <v>195979</v>
      </c>
      <c r="H38" s="67">
        <f t="shared" si="18"/>
        <v>0</v>
      </c>
      <c r="I38" s="67">
        <f t="shared" si="18"/>
        <v>1397571</v>
      </c>
      <c r="J38" s="67">
        <f t="shared" si="18"/>
        <v>0</v>
      </c>
      <c r="K38" s="67">
        <f t="shared" si="18"/>
        <v>3029692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1327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5786799</v>
      </c>
      <c r="E39" s="75">
        <f t="shared" ref="E39:G39" si="19">SUM(E40:E46)</f>
        <v>4227465</v>
      </c>
      <c r="F39" s="75">
        <f t="shared" si="19"/>
        <v>0</v>
      </c>
      <c r="G39" s="75">
        <f t="shared" si="19"/>
        <v>195979</v>
      </c>
      <c r="H39" s="75">
        <f>SUM(H40:H46)</f>
        <v>0</v>
      </c>
      <c r="I39" s="75">
        <f t="shared" ref="I39:K39" si="20">SUM(I40:I46)</f>
        <v>1333199</v>
      </c>
      <c r="J39" s="75">
        <f t="shared" si="20"/>
        <v>0</v>
      </c>
      <c r="K39" s="75">
        <f t="shared" si="20"/>
        <v>30156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4414129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3839849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33447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525074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15759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1346966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365263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162532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804774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14397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3351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3351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22353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22353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3104039</v>
      </c>
      <c r="E47" s="76">
        <f t="shared" ref="E47:G47" si="23">SUM(E48:E52)</f>
        <v>38804</v>
      </c>
      <c r="F47" s="76">
        <f t="shared" si="23"/>
        <v>0</v>
      </c>
      <c r="G47" s="76">
        <f t="shared" si="23"/>
        <v>0</v>
      </c>
      <c r="H47" s="76">
        <f>SUM(H48:H52)</f>
        <v>0</v>
      </c>
      <c r="I47" s="76">
        <f t="shared" ref="I47:K47" si="24">SUM(I48:I52)</f>
        <v>64372</v>
      </c>
      <c r="J47" s="76">
        <f t="shared" si="24"/>
        <v>0</v>
      </c>
      <c r="K47" s="76">
        <f t="shared" si="24"/>
        <v>2999536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1327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2919902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2919902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104503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38804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64372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1327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79634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79634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25" right="0.25" top="0.75" bottom="0.75" header="0.3" footer="0.3"/>
  <pageSetup paperSize="9" scale="43" firstPageNumber="3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K35"/>
  <sheetViews>
    <sheetView topLeftCell="A4" workbookViewId="0">
      <selection activeCell="E29" sqref="E29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299" t="s">
        <v>5116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7757823</v>
      </c>
      <c r="D5" s="280">
        <f t="shared" ref="D5:E5" si="0">+D6+D9+D11+D14+D25+D28+D30</f>
        <v>9010830</v>
      </c>
      <c r="E5" s="280">
        <f t="shared" si="0"/>
        <v>8889511</v>
      </c>
    </row>
    <row r="6" spans="1:193">
      <c r="A6" s="259">
        <v>1</v>
      </c>
      <c r="B6" s="64" t="s">
        <v>5131</v>
      </c>
      <c r="C6" s="279">
        <f>+C7+C8</f>
        <v>4229463</v>
      </c>
      <c r="D6" s="279">
        <f t="shared" ref="D6:E6" si="1">+D7+D8</f>
        <v>4247819</v>
      </c>
      <c r="E6" s="279">
        <f t="shared" si="1"/>
        <v>4266269</v>
      </c>
    </row>
    <row r="7" spans="1:193">
      <c r="A7" s="256">
        <v>11</v>
      </c>
      <c r="B7" s="45" t="s">
        <v>5118</v>
      </c>
      <c r="C7" s="278">
        <f>+'A.2 RASHODI'!E4</f>
        <v>4229463</v>
      </c>
      <c r="D7" s="278">
        <f>+'A.2 RASHODI'!E21</f>
        <v>4247819</v>
      </c>
      <c r="E7" s="278">
        <f>+'A.2 RASHODI'!E38</f>
        <v>4266269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195979</v>
      </c>
      <c r="D9" s="279">
        <f t="shared" ref="D9:E9" si="2">+D10</f>
        <v>227567</v>
      </c>
      <c r="E9" s="279">
        <f t="shared" si="2"/>
        <v>195979</v>
      </c>
    </row>
    <row r="10" spans="1:193">
      <c r="A10" s="256">
        <v>31</v>
      </c>
      <c r="B10" s="45" t="s">
        <v>5119</v>
      </c>
      <c r="C10" s="278">
        <f>+'A.2 RASHODI'!G4</f>
        <v>195979</v>
      </c>
      <c r="D10" s="278">
        <f>+'A.2 RASHODI'!G21</f>
        <v>227567</v>
      </c>
      <c r="E10" s="278">
        <f>+'A.2 RASHODI'!G38</f>
        <v>195979</v>
      </c>
    </row>
    <row r="11" spans="1:193">
      <c r="A11" s="259">
        <v>4</v>
      </c>
      <c r="B11" s="64" t="s">
        <v>5133</v>
      </c>
      <c r="C11" s="279">
        <f>+C12+C13</f>
        <v>1397571</v>
      </c>
      <c r="D11" s="279">
        <f t="shared" ref="D11:E11" si="3">+D12+D13</f>
        <v>1450660</v>
      </c>
      <c r="E11" s="279">
        <f t="shared" si="3"/>
        <v>1397571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1397571</v>
      </c>
      <c r="D13" s="278">
        <f>+'A.2 RASHODI'!I21</f>
        <v>1450660</v>
      </c>
      <c r="E13" s="278">
        <f>+'A.2 RASHODI'!I38</f>
        <v>1397571</v>
      </c>
    </row>
    <row r="14" spans="1:193">
      <c r="A14" s="259">
        <v>5</v>
      </c>
      <c r="B14" s="64" t="s">
        <v>5134</v>
      </c>
      <c r="C14" s="279">
        <f>SUM(C15:C24)</f>
        <v>1933483</v>
      </c>
      <c r="D14" s="279">
        <f t="shared" ref="D14:E14" si="4">SUM(D15:D24)</f>
        <v>3083457</v>
      </c>
      <c r="E14" s="279">
        <f t="shared" si="4"/>
        <v>3029692</v>
      </c>
    </row>
    <row r="15" spans="1:193">
      <c r="A15" s="256">
        <v>51</v>
      </c>
      <c r="B15" s="45" t="s">
        <v>5122</v>
      </c>
      <c r="C15" s="278">
        <f>+'A.2 RASHODI'!J4</f>
        <v>100215</v>
      </c>
      <c r="D15" s="278">
        <f>+'A.2 RASHODI'!J21</f>
        <v>0</v>
      </c>
      <c r="E15" s="278">
        <f>+'A.1 PRIHODI'!J36</f>
        <v>0</v>
      </c>
    </row>
    <row r="16" spans="1:193">
      <c r="A16" s="256">
        <v>52</v>
      </c>
      <c r="B16" s="45" t="s">
        <v>5123</v>
      </c>
      <c r="C16" s="278">
        <f>+'A.2 RASHODI'!K4</f>
        <v>1833268</v>
      </c>
      <c r="D16" s="278">
        <f>+'A.2 RASHODI'!K21</f>
        <v>3083457</v>
      </c>
      <c r="E16" s="278">
        <f>+'A.2 RASHODI'!K38</f>
        <v>3029692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1327</v>
      </c>
      <c r="D28" s="279">
        <f t="shared" ref="D28:E28" si="6">+D29</f>
        <v>1327</v>
      </c>
      <c r="E28" s="279">
        <f t="shared" si="6"/>
        <v>0</v>
      </c>
    </row>
    <row r="29" spans="1:5" ht="25.5">
      <c r="A29" s="256">
        <v>71</v>
      </c>
      <c r="B29" s="45" t="s">
        <v>5130</v>
      </c>
      <c r="C29" s="278">
        <f>+'A.2 RASHODI'!V4</f>
        <v>1327</v>
      </c>
      <c r="D29" s="278">
        <f>+'A.2 RASHODI'!V21</f>
        <v>1327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B6" sqref="B6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299" t="s">
        <v>5141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7757823</v>
      </c>
      <c r="D5" s="67">
        <f t="shared" ref="D5:E5" si="0">+D6+D15+D21+D28+D38+D45+D52+D59+D66+D75</f>
        <v>9010830</v>
      </c>
      <c r="E5" s="67">
        <f t="shared" si="0"/>
        <v>8890838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0</v>
      </c>
      <c r="D11" s="278">
        <f>SUMIF('Unos rashoda i izdataka'!$R$3:$R$501,'A.4 RASHODI FUNK'!$A11,'Unos rashoda i izdataka'!$K$3:$K$501)+SUMIF('Unos rashoda P4'!$T$3:$T$501,'A.4 RASHODI FUNK'!$A11,'Unos rashoda P4'!$I$3:$I$501)</f>
        <v>0</v>
      </c>
      <c r="E11" s="278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7757823</v>
      </c>
      <c r="D66" s="283">
        <f>SUM(D67:D74)</f>
        <v>9010830</v>
      </c>
      <c r="E66" s="283">
        <f>SUM(E67:E74)</f>
        <v>8890838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7757823</v>
      </c>
      <c r="D70" s="278">
        <f>SUMIF('Unos rashoda i izdataka'!$R$3:$R$501,'A.4 RASHODI FUNK'!$A70,'Unos rashoda i izdataka'!$K$3:$K$501)+SUMIF('Unos rashoda P4'!$T$3:$T$501,'A.4 RASHODI FUNK'!$A70,'Unos rashoda P4'!$I$3:$I$501)</f>
        <v>9010830</v>
      </c>
      <c r="E70" s="278">
        <f>SUMIF('Unos rashoda i izdataka'!$R$3:$R$501,'A.4 RASHODI FUNK'!$A70,'Unos rashoda i izdataka'!$L$3:$L$501)+SUMIF('Unos rashoda P4'!$T$3:$T$501,'A.4 RASHODI FUNK'!$A70,'Unos rashoda P4'!$J$3:$J$501)</f>
        <v>8890838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Gordana Mazalović</cp:lastModifiedBy>
  <cp:lastPrinted>2022-12-07T12:11:40Z</cp:lastPrinted>
  <dcterms:created xsi:type="dcterms:W3CDTF">2018-09-10T07:36:17Z</dcterms:created>
  <dcterms:modified xsi:type="dcterms:W3CDTF">2022-12-07T13:11:26Z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