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f-my.sharepoint.com/personal/gordana_mazalovic_kif_hr/Documents/Radna površina/GORDANA DOKUMENTI/IZVRŠENJE FINANCIJSKOG PLANA/01-06-2023/"/>
    </mc:Choice>
  </mc:AlternateContent>
  <xr:revisionPtr revIDLastSave="1993" documentId="11_1166348C2451913FD3C6E0CC6DD184B24B0B9826" xr6:coauthVersionLast="47" xr6:coauthVersionMax="47" xr10:uidLastSave="{DE382563-8F77-492B-8DA5-89BB44A91E43}"/>
  <bookViews>
    <workbookView xWindow="525" yWindow="0" windowWidth="27660" windowHeight="14775" activeTab="2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A.1 PRIHODI" sheetId="13" r:id="rId5"/>
    <sheet name="A.2 RASHODI" sheetId="14" r:id="rId6"/>
    <sheet name="A.3 RASHODI IF" sheetId="32" r:id="rId7"/>
    <sheet name="A.4 RASHODI FUNK" sheetId="33" r:id="rId8"/>
    <sheet name="B. RAČUN FIN" sheetId="31" r:id="rId9"/>
    <sheet name="AKT" sheetId="26" r:id="rId10"/>
    <sheet name="p4" sheetId="27" r:id="rId11"/>
    <sheet name="prihodi" sheetId="29" r:id="rId12"/>
    <sheet name="KORISNICI DP" sheetId="30" r:id="rId13"/>
  </sheets>
  <definedNames>
    <definedName name="_FiltarBaze" localSheetId="5" hidden="1">'A.2 RASHODI'!#REF!</definedName>
    <definedName name="_xlnm._FilterDatabase" localSheetId="5" hidden="1">'A.2 RASHODI'!$A$39:$V$54</definedName>
    <definedName name="_xlnm._FilterDatabase" localSheetId="9" hidden="1">AKT!$A$3:$H$324</definedName>
    <definedName name="_xlnm._FilterDatabase" localSheetId="12" hidden="1">'KORISNICI DP'!$A$2:$H$614</definedName>
    <definedName name="_xlnm._FilterDatabase" localSheetId="10" hidden="1">'p4'!$A$1:$B$1116</definedName>
    <definedName name="_xlnm._FilterDatabase" localSheetId="1" hidden="1">'Unos prihoda i primitaka'!$A$2:$J$501</definedName>
    <definedName name="_xlnm._FilterDatabase" localSheetId="2" hidden="1">'Unos rashoda i izdataka'!$A$2:$AG$498</definedName>
    <definedName name="_xlnm._FilterDatabase" localSheetId="3" hidden="1">'Unos rashoda P4'!$A$2:$AG$496</definedName>
    <definedName name="Excel_BuiltIn_Print_Titles_3">'KORISNICI DP'!$A$2:$IL$3</definedName>
    <definedName name="Excel_BuiltIn_Print_Titles_3_1">'KORISNICI DP'!$A$2:$IK$3</definedName>
    <definedName name="_xlnm.Print_Titles" localSheetId="5">'A.2 RASHODI'!$1:$3</definedName>
    <definedName name="_xlnm.Print_Titles" localSheetId="7">'A.4 RASHODI FUNK'!$4:$4</definedName>
    <definedName name="_xlnm.Print_Titles" localSheetId="12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_xlnm.Print_Area" localSheetId="12">'KORISNICI DP'!$A$1:$H$615</definedName>
    <definedName name="_xlnm.Print_Area" localSheetId="0">'OPĆI DIO'!$A$3:$E$34</definedName>
    <definedName name="_xlnm.Print_Area" localSheetId="1">'Unos prihoda i primitaka'!$A$2:$J$17</definedName>
    <definedName name="_xlnm.Print_Area" localSheetId="2">'Unos rashoda i izdataka'!$A$3:$M$128</definedName>
    <definedName name="_xlnm.Print_Area" localSheetId="3">'Unos rashoda P4'!$A$3:$J$49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7" l="1"/>
  <c r="J3" i="17" l="1"/>
  <c r="L57" i="17"/>
  <c r="L104" i="17"/>
  <c r="L34" i="17"/>
  <c r="L41" i="17"/>
  <c r="I5" i="4" l="1"/>
  <c r="I16" i="4"/>
  <c r="I4" i="4"/>
  <c r="J37" i="25"/>
  <c r="L78" i="17" l="1"/>
  <c r="L47" i="17"/>
  <c r="L45" i="17"/>
  <c r="L141" i="17"/>
  <c r="L76" i="17"/>
  <c r="L74" i="17"/>
  <c r="L4" i="17"/>
  <c r="L3" i="17"/>
  <c r="L111" i="17"/>
  <c r="L110" i="17"/>
  <c r="H7" i="25"/>
  <c r="J67" i="17"/>
  <c r="J130" i="17"/>
  <c r="H10" i="25"/>
  <c r="H13" i="25"/>
  <c r="H26" i="25"/>
  <c r="H32" i="25"/>
  <c r="H34" i="25"/>
  <c r="J103" i="17"/>
  <c r="J108" i="17"/>
  <c r="L75" i="17"/>
  <c r="J7" i="25"/>
  <c r="J26" i="25"/>
  <c r="J28" i="25"/>
  <c r="G35" i="25" l="1"/>
  <c r="G34" i="25"/>
  <c r="B33" i="25"/>
  <c r="I96" i="17"/>
  <c r="H96" i="17"/>
  <c r="L93" i="17"/>
  <c r="L105" i="17"/>
  <c r="L50" i="17"/>
  <c r="L63" i="17"/>
  <c r="L86" i="17"/>
  <c r="L85" i="17"/>
  <c r="L84" i="17"/>
  <c r="L83" i="17"/>
  <c r="L81" i="17"/>
  <c r="L77" i="17"/>
  <c r="L71" i="17"/>
  <c r="L70" i="17"/>
  <c r="L69" i="17"/>
  <c r="L68" i="17"/>
  <c r="L67" i="17"/>
  <c r="L65" i="17"/>
  <c r="L64" i="17"/>
  <c r="L62" i="17"/>
  <c r="L61" i="17"/>
  <c r="L60" i="17"/>
  <c r="L58" i="17"/>
  <c r="L55" i="17"/>
  <c r="L54" i="17"/>
  <c r="L52" i="17"/>
  <c r="L33" i="17"/>
  <c r="L38" i="17"/>
  <c r="L32" i="17"/>
  <c r="H31" i="17"/>
  <c r="L27" i="17"/>
  <c r="L26" i="17"/>
  <c r="L23" i="17"/>
  <c r="L9" i="17"/>
  <c r="D9" i="17"/>
  <c r="L14" i="17"/>
  <c r="L13" i="17"/>
  <c r="L5" i="17"/>
  <c r="L6" i="17"/>
  <c r="J102" i="17" l="1"/>
  <c r="J99" i="17"/>
  <c r="J98" i="17"/>
  <c r="J97" i="17"/>
  <c r="J94" i="17"/>
  <c r="J92" i="17"/>
  <c r="J91" i="17"/>
  <c r="J93" i="17"/>
  <c r="J72" i="17"/>
  <c r="J51" i="17"/>
  <c r="J49" i="17"/>
  <c r="J47" i="17"/>
  <c r="J45" i="17"/>
  <c r="J69" i="17"/>
  <c r="J83" i="17"/>
  <c r="J82" i="17"/>
  <c r="J78" i="17"/>
  <c r="J75" i="17"/>
  <c r="J74" i="17"/>
  <c r="J71" i="17"/>
  <c r="J70" i="17"/>
  <c r="J68" i="17"/>
  <c r="J65" i="17"/>
  <c r="J64" i="17"/>
  <c r="J63" i="17"/>
  <c r="J62" i="17"/>
  <c r="J61" i="17"/>
  <c r="J58" i="17"/>
  <c r="J57" i="17"/>
  <c r="J54" i="17"/>
  <c r="J50" i="17"/>
  <c r="J34" i="17"/>
  <c r="J33" i="17" l="1"/>
  <c r="J27" i="17"/>
  <c r="J26" i="17"/>
  <c r="J23" i="17"/>
  <c r="J19" i="17" l="1"/>
  <c r="J18" i="17"/>
  <c r="J10" i="17"/>
  <c r="J14" i="17"/>
  <c r="J13" i="17"/>
  <c r="J9" i="17"/>
  <c r="J6" i="17"/>
  <c r="J4" i="17"/>
  <c r="G5" i="4" l="1"/>
  <c r="G4" i="4"/>
  <c r="G3" i="4"/>
  <c r="G9" i="4"/>
  <c r="G16" i="4"/>
  <c r="G6" i="4"/>
  <c r="G12" i="4"/>
  <c r="I3" i="4"/>
  <c r="I9" i="4"/>
  <c r="A5" i="4"/>
  <c r="B5" i="4"/>
  <c r="C63" i="14"/>
  <c r="C62" i="14"/>
  <c r="C61" i="14"/>
  <c r="C60" i="14"/>
  <c r="C14" i="14"/>
  <c r="C15" i="14"/>
  <c r="C13" i="14"/>
  <c r="C7" i="14"/>
  <c r="C8" i="14"/>
  <c r="C9" i="14"/>
  <c r="C10" i="14"/>
  <c r="C11" i="14"/>
  <c r="M39" i="4" l="1"/>
  <c r="N150" i="17"/>
  <c r="N148" i="17"/>
  <c r="N147" i="17"/>
  <c r="N149" i="17" l="1"/>
  <c r="N151" i="17" s="1"/>
  <c r="AF936" i="25"/>
  <c r="AG936" i="25" s="1"/>
  <c r="V13" i="31"/>
  <c r="T13" i="31"/>
  <c r="R13" i="31"/>
  <c r="P13" i="31"/>
  <c r="O13" i="31"/>
  <c r="L13" i="31"/>
  <c r="K13" i="31"/>
  <c r="G13" i="31"/>
  <c r="V12" i="31"/>
  <c r="T12" i="31"/>
  <c r="R12" i="31"/>
  <c r="P12" i="31"/>
  <c r="O12" i="31"/>
  <c r="L12" i="31"/>
  <c r="K12" i="31"/>
  <c r="G12" i="31"/>
  <c r="V35" i="31"/>
  <c r="T35" i="31"/>
  <c r="R35" i="31"/>
  <c r="P35" i="31"/>
  <c r="O35" i="31"/>
  <c r="L35" i="31"/>
  <c r="K35" i="31"/>
  <c r="G35" i="31"/>
  <c r="V34" i="31"/>
  <c r="T34" i="31"/>
  <c r="R34" i="31"/>
  <c r="P34" i="31"/>
  <c r="O34" i="31"/>
  <c r="L34" i="31"/>
  <c r="K34" i="31"/>
  <c r="G34" i="31"/>
  <c r="V23" i="31"/>
  <c r="T23" i="31"/>
  <c r="R23" i="31"/>
  <c r="P23" i="31"/>
  <c r="O23" i="31"/>
  <c r="L23" i="31"/>
  <c r="K23" i="31"/>
  <c r="G23" i="31"/>
  <c r="V24" i="31"/>
  <c r="T24" i="31"/>
  <c r="R24" i="31"/>
  <c r="P24" i="31"/>
  <c r="O24" i="31"/>
  <c r="L24" i="31"/>
  <c r="K24" i="31"/>
  <c r="G24" i="31"/>
  <c r="T35" i="25" l="1"/>
  <c r="G47" i="25"/>
  <c r="T47" i="25" s="1"/>
  <c r="G48" i="25"/>
  <c r="T48" i="25" s="1"/>
  <c r="G54" i="25"/>
  <c r="T54" i="25" s="1"/>
  <c r="G60" i="25"/>
  <c r="T60" i="25" s="1"/>
  <c r="G63" i="25"/>
  <c r="T63" i="25" s="1"/>
  <c r="G66" i="25"/>
  <c r="T66" i="25" s="1"/>
  <c r="G67" i="25"/>
  <c r="T67" i="25" s="1"/>
  <c r="G72" i="25"/>
  <c r="T72" i="25" s="1"/>
  <c r="G78" i="25"/>
  <c r="T78" i="25" s="1"/>
  <c r="G79" i="25"/>
  <c r="T79" i="25" s="1"/>
  <c r="G84" i="25"/>
  <c r="T84" i="25" s="1"/>
  <c r="G88" i="25"/>
  <c r="T88" i="25" s="1"/>
  <c r="G90" i="25"/>
  <c r="T90" i="25" s="1"/>
  <c r="G95" i="25"/>
  <c r="T95" i="25" s="1"/>
  <c r="G98" i="25"/>
  <c r="T98" i="25" s="1"/>
  <c r="G99" i="25"/>
  <c r="T99" i="25" s="1"/>
  <c r="G100" i="25"/>
  <c r="T100" i="25" s="1"/>
  <c r="G101" i="25"/>
  <c r="T101" i="25" s="1"/>
  <c r="G102" i="25"/>
  <c r="T102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F30" i="25"/>
  <c r="AG30" i="25" s="1"/>
  <c r="AF31" i="25"/>
  <c r="AG31" i="25" s="1"/>
  <c r="AF32" i="25"/>
  <c r="AG32" i="25" s="1"/>
  <c r="AF33" i="25"/>
  <c r="AG33" i="25" s="1"/>
  <c r="AF34" i="25"/>
  <c r="AG34" i="25" s="1"/>
  <c r="AF35" i="25"/>
  <c r="AG35" i="25" s="1"/>
  <c r="AF36" i="25"/>
  <c r="AG36" i="25" s="1"/>
  <c r="AF37" i="25"/>
  <c r="AG37" i="25" s="1"/>
  <c r="AF38" i="25"/>
  <c r="AG38" i="25" s="1"/>
  <c r="AF39" i="25"/>
  <c r="AG39" i="25" s="1"/>
  <c r="AF40" i="25"/>
  <c r="AG40" i="25" s="1"/>
  <c r="AF41" i="25"/>
  <c r="AG41" i="25" s="1"/>
  <c r="AF42" i="25"/>
  <c r="AG42" i="25" s="1"/>
  <c r="AF43" i="25"/>
  <c r="AG43" i="25" s="1"/>
  <c r="AF44" i="25"/>
  <c r="AG44" i="25" s="1"/>
  <c r="AF45" i="25"/>
  <c r="AG45" i="25" s="1"/>
  <c r="AF46" i="25"/>
  <c r="AG46" i="25" s="1"/>
  <c r="AF47" i="25"/>
  <c r="AG47" i="25" s="1"/>
  <c r="AF48" i="25"/>
  <c r="AG48" i="25" s="1"/>
  <c r="AF49" i="25"/>
  <c r="AG49" i="25" s="1"/>
  <c r="AF50" i="25"/>
  <c r="AG50" i="25" s="1"/>
  <c r="AF51" i="25"/>
  <c r="AG51" i="25" s="1"/>
  <c r="AF52" i="25"/>
  <c r="AG52" i="25" s="1"/>
  <c r="AF53" i="25"/>
  <c r="AG53" i="25" s="1"/>
  <c r="AF54" i="25"/>
  <c r="AG54" i="25" s="1"/>
  <c r="AF55" i="25"/>
  <c r="AG55" i="25" s="1"/>
  <c r="AF56" i="25"/>
  <c r="AG56" i="25" s="1"/>
  <c r="AF57" i="25"/>
  <c r="AG57" i="25" s="1"/>
  <c r="AF58" i="25"/>
  <c r="AG58" i="25" s="1"/>
  <c r="AF59" i="25"/>
  <c r="AG59" i="25" s="1"/>
  <c r="AF60" i="25"/>
  <c r="AG60" i="25" s="1"/>
  <c r="AF61" i="25"/>
  <c r="AG61" i="25" s="1"/>
  <c r="AF62" i="25"/>
  <c r="AG62" i="25" s="1"/>
  <c r="AF63" i="25"/>
  <c r="AG63" i="25" s="1"/>
  <c r="AF64" i="25"/>
  <c r="AG64" i="25" s="1"/>
  <c r="AF65" i="25"/>
  <c r="AG65" i="25" s="1"/>
  <c r="AF66" i="25"/>
  <c r="AG66" i="25" s="1"/>
  <c r="AF67" i="25"/>
  <c r="AG67" i="25" s="1"/>
  <c r="AF68" i="25"/>
  <c r="AG68" i="25" s="1"/>
  <c r="AF69" i="25"/>
  <c r="AG69" i="25" s="1"/>
  <c r="AF70" i="25"/>
  <c r="AG70" i="25" s="1"/>
  <c r="AF71" i="25"/>
  <c r="AG71" i="25" s="1"/>
  <c r="AF72" i="25"/>
  <c r="AG72" i="25" s="1"/>
  <c r="AF73" i="25"/>
  <c r="AG73" i="25" s="1"/>
  <c r="AF74" i="25"/>
  <c r="AG74" i="25" s="1"/>
  <c r="AF75" i="25"/>
  <c r="AG75" i="25" s="1"/>
  <c r="AF76" i="25"/>
  <c r="AG76" i="25" s="1"/>
  <c r="AF77" i="25"/>
  <c r="AG77" i="25" s="1"/>
  <c r="AF78" i="25"/>
  <c r="AG78" i="25" s="1"/>
  <c r="AF79" i="25"/>
  <c r="AG79" i="25" s="1"/>
  <c r="AF80" i="25"/>
  <c r="AG80" i="25" s="1"/>
  <c r="AF81" i="25"/>
  <c r="AG81" i="25" s="1"/>
  <c r="AF82" i="25"/>
  <c r="AG82" i="25" s="1"/>
  <c r="AF83" i="25"/>
  <c r="AG83" i="25" s="1"/>
  <c r="AF84" i="25"/>
  <c r="AG84" i="25" s="1"/>
  <c r="AF85" i="25"/>
  <c r="AG85" i="25" s="1"/>
  <c r="AF86" i="25"/>
  <c r="AG86" i="25" s="1"/>
  <c r="AF87" i="25"/>
  <c r="AG87" i="25" s="1"/>
  <c r="AF88" i="25"/>
  <c r="AG88" i="25" s="1"/>
  <c r="AF89" i="25"/>
  <c r="AG89" i="25" s="1"/>
  <c r="AF90" i="25"/>
  <c r="AG90" i="25" s="1"/>
  <c r="AF91" i="25"/>
  <c r="AG91" i="25" s="1"/>
  <c r="AF92" i="25"/>
  <c r="AG92" i="25" s="1"/>
  <c r="AF93" i="25"/>
  <c r="AG93" i="25" s="1"/>
  <c r="AF94" i="25"/>
  <c r="AG94" i="25" s="1"/>
  <c r="AF95" i="25"/>
  <c r="AG95" i="25" s="1"/>
  <c r="AF96" i="25"/>
  <c r="AG96" i="25" s="1"/>
  <c r="AF97" i="25"/>
  <c r="AG97" i="25" s="1"/>
  <c r="AF98" i="25"/>
  <c r="AG98" i="25" s="1"/>
  <c r="AF99" i="25"/>
  <c r="AG99" i="25" s="1"/>
  <c r="AF100" i="25"/>
  <c r="AG100" i="25" s="1"/>
  <c r="AF101" i="25"/>
  <c r="AG101" i="25" s="1"/>
  <c r="AF102" i="25"/>
  <c r="AG102" i="25" s="1"/>
  <c r="AF103" i="25"/>
  <c r="AG103" i="25" s="1"/>
  <c r="AF104" i="25"/>
  <c r="AG104" i="25" s="1"/>
  <c r="AF105" i="25"/>
  <c r="AG105" i="25" s="1"/>
  <c r="AF106" i="25"/>
  <c r="AG106" i="25" s="1"/>
  <c r="AF107" i="25"/>
  <c r="AG107" i="25" s="1"/>
  <c r="AF108" i="25"/>
  <c r="AG108" i="25" s="1"/>
  <c r="AF109" i="25"/>
  <c r="AG109" i="25" s="1"/>
  <c r="AF110" i="25"/>
  <c r="AG110" i="25" s="1"/>
  <c r="AF111" i="25"/>
  <c r="AG111" i="25" s="1"/>
  <c r="AF112" i="25"/>
  <c r="AG112" i="25" s="1"/>
  <c r="AF113" i="25"/>
  <c r="AG113" i="25" s="1"/>
  <c r="AF114" i="25"/>
  <c r="AG114" i="25" s="1"/>
  <c r="AF115" i="25"/>
  <c r="AG115" i="25" s="1"/>
  <c r="AF116" i="25"/>
  <c r="AG116" i="25" s="1"/>
  <c r="AF117" i="25"/>
  <c r="AG117" i="25" s="1"/>
  <c r="AF118" i="25"/>
  <c r="AG118" i="25" s="1"/>
  <c r="AF119" i="25"/>
  <c r="AG119" i="25" s="1"/>
  <c r="AF120" i="25"/>
  <c r="AG120" i="25" s="1"/>
  <c r="AF121" i="25"/>
  <c r="AG121" i="25" s="1"/>
  <c r="AF122" i="25"/>
  <c r="AG122" i="25" s="1"/>
  <c r="AF123" i="25"/>
  <c r="AG123" i="25" s="1"/>
  <c r="AF124" i="25"/>
  <c r="AG124" i="25" s="1"/>
  <c r="AF125" i="25"/>
  <c r="AG125" i="25" s="1"/>
  <c r="AF126" i="25"/>
  <c r="AG126" i="25" s="1"/>
  <c r="AF127" i="25"/>
  <c r="AG127" i="25" s="1"/>
  <c r="AF128" i="25"/>
  <c r="AG128" i="25" s="1"/>
  <c r="AF129" i="25"/>
  <c r="AG129" i="25" s="1"/>
  <c r="AF130" i="25"/>
  <c r="AG130" i="25" s="1"/>
  <c r="AF131" i="25"/>
  <c r="AG131" i="25" s="1"/>
  <c r="AF132" i="25"/>
  <c r="AG132" i="25" s="1"/>
  <c r="AF133" i="25"/>
  <c r="AG133" i="25" s="1"/>
  <c r="AF134" i="25"/>
  <c r="AG134" i="25" s="1"/>
  <c r="AF135" i="25"/>
  <c r="AG135" i="25" s="1"/>
  <c r="AF136" i="25"/>
  <c r="AG136" i="25" s="1"/>
  <c r="AF137" i="25"/>
  <c r="AG137" i="25" s="1"/>
  <c r="AF138" i="25"/>
  <c r="AG138" i="25" s="1"/>
  <c r="AF139" i="25"/>
  <c r="AG139" i="25" s="1"/>
  <c r="AF140" i="25"/>
  <c r="AG140" i="25" s="1"/>
  <c r="AF141" i="25"/>
  <c r="AG141" i="25" s="1"/>
  <c r="AF142" i="25"/>
  <c r="AG142" i="25" s="1"/>
  <c r="AF143" i="25"/>
  <c r="AG143" i="25" s="1"/>
  <c r="AF144" i="25"/>
  <c r="AG144" i="25" s="1"/>
  <c r="AF145" i="25"/>
  <c r="AG145" i="25" s="1"/>
  <c r="AF146" i="25"/>
  <c r="AG146" i="25" s="1"/>
  <c r="AF147" i="25"/>
  <c r="AG147" i="25" s="1"/>
  <c r="AF148" i="25"/>
  <c r="AG148" i="25" s="1"/>
  <c r="AF149" i="25"/>
  <c r="AG149" i="25" s="1"/>
  <c r="AF150" i="25"/>
  <c r="AG150" i="25" s="1"/>
  <c r="AF151" i="25"/>
  <c r="AG151" i="25" s="1"/>
  <c r="AF152" i="25"/>
  <c r="AG152" i="25" s="1"/>
  <c r="AF153" i="25"/>
  <c r="AG153" i="25" s="1"/>
  <c r="AF154" i="25"/>
  <c r="AG154" i="25" s="1"/>
  <c r="AF155" i="25"/>
  <c r="AG155" i="25" s="1"/>
  <c r="AF156" i="25"/>
  <c r="AG156" i="25" s="1"/>
  <c r="AF157" i="25"/>
  <c r="AG157" i="25" s="1"/>
  <c r="AF158" i="25"/>
  <c r="AG158" i="25" s="1"/>
  <c r="AF159" i="25"/>
  <c r="AG159" i="25" s="1"/>
  <c r="AF160" i="25"/>
  <c r="AG160" i="25" s="1"/>
  <c r="AF161" i="25"/>
  <c r="AG161" i="25" s="1"/>
  <c r="AF162" i="25"/>
  <c r="AG162" i="25" s="1"/>
  <c r="AF163" i="25"/>
  <c r="AG163" i="25" s="1"/>
  <c r="AF164" i="25"/>
  <c r="AG164" i="25" s="1"/>
  <c r="AF165" i="25"/>
  <c r="AG165" i="25" s="1"/>
  <c r="AF166" i="25"/>
  <c r="AG166" i="25" s="1"/>
  <c r="AF167" i="25"/>
  <c r="AG167" i="25" s="1"/>
  <c r="AF168" i="25"/>
  <c r="AG168" i="25" s="1"/>
  <c r="AF169" i="25"/>
  <c r="AG169" i="25" s="1"/>
  <c r="AF170" i="25"/>
  <c r="AG170" i="25" s="1"/>
  <c r="AF171" i="25"/>
  <c r="AG171" i="25" s="1"/>
  <c r="AF172" i="25"/>
  <c r="AG172" i="25" s="1"/>
  <c r="AF173" i="25"/>
  <c r="AG173" i="25" s="1"/>
  <c r="AF174" i="25"/>
  <c r="AG174" i="25" s="1"/>
  <c r="AF175" i="25"/>
  <c r="AG175" i="25" s="1"/>
  <c r="AF176" i="25"/>
  <c r="AG176" i="25" s="1"/>
  <c r="AF177" i="25"/>
  <c r="AG177" i="25" s="1"/>
  <c r="AF178" i="25"/>
  <c r="AG178" i="25" s="1"/>
  <c r="AF179" i="25"/>
  <c r="AG179" i="25" s="1"/>
  <c r="AF180" i="25"/>
  <c r="AG180" i="25" s="1"/>
  <c r="AF181" i="25"/>
  <c r="AG181" i="25" s="1"/>
  <c r="AF182" i="25"/>
  <c r="AG182" i="25" s="1"/>
  <c r="AF183" i="25"/>
  <c r="AG183" i="25" s="1"/>
  <c r="AF184" i="25"/>
  <c r="AG184" i="25" s="1"/>
  <c r="AF185" i="25"/>
  <c r="AG185" i="25" s="1"/>
  <c r="AF186" i="25"/>
  <c r="AG186" i="25" s="1"/>
  <c r="AF187" i="25"/>
  <c r="AG187" i="25" s="1"/>
  <c r="AF188" i="25"/>
  <c r="AG188" i="25" s="1"/>
  <c r="AF189" i="25"/>
  <c r="AG189" i="25" s="1"/>
  <c r="AF190" i="25"/>
  <c r="AG190" i="25" s="1"/>
  <c r="AF191" i="25"/>
  <c r="AG191" i="25" s="1"/>
  <c r="AF192" i="25"/>
  <c r="AG192" i="25" s="1"/>
  <c r="AF193" i="25"/>
  <c r="AG193" i="25" s="1"/>
  <c r="AF194" i="25"/>
  <c r="AG194" i="25" s="1"/>
  <c r="AF195" i="25"/>
  <c r="AG195" i="25" s="1"/>
  <c r="AF196" i="25"/>
  <c r="AG196" i="25" s="1"/>
  <c r="AF197" i="25"/>
  <c r="AG197" i="25" s="1"/>
  <c r="AF198" i="25"/>
  <c r="AG198" i="25" s="1"/>
  <c r="AF199" i="25"/>
  <c r="AG199" i="25" s="1"/>
  <c r="AF200" i="25"/>
  <c r="AG200" i="25" s="1"/>
  <c r="AF201" i="25"/>
  <c r="AG201" i="25" s="1"/>
  <c r="AF202" i="25"/>
  <c r="AG202" i="25" s="1"/>
  <c r="AF203" i="25"/>
  <c r="AG203" i="25" s="1"/>
  <c r="AF204" i="25"/>
  <c r="AG204" i="25" s="1"/>
  <c r="AF205" i="25"/>
  <c r="AG205" i="25" s="1"/>
  <c r="AF206" i="25"/>
  <c r="AG206" i="25" s="1"/>
  <c r="AF207" i="25"/>
  <c r="AG207" i="25" s="1"/>
  <c r="AF208" i="25"/>
  <c r="AG208" i="25" s="1"/>
  <c r="AF209" i="25"/>
  <c r="AG209" i="25" s="1"/>
  <c r="AF210" i="25"/>
  <c r="AG210" i="25" s="1"/>
  <c r="AF211" i="25"/>
  <c r="AG211" i="25" s="1"/>
  <c r="AF212" i="25"/>
  <c r="AG212" i="25" s="1"/>
  <c r="AF213" i="25"/>
  <c r="AG213" i="25" s="1"/>
  <c r="AF214" i="25"/>
  <c r="AG214" i="25" s="1"/>
  <c r="AF215" i="25"/>
  <c r="AG215" i="25" s="1"/>
  <c r="AF216" i="25"/>
  <c r="AG216" i="25" s="1"/>
  <c r="AF217" i="25"/>
  <c r="AG217" i="25" s="1"/>
  <c r="AF218" i="25"/>
  <c r="AG218" i="25" s="1"/>
  <c r="AF219" i="25"/>
  <c r="AG219" i="25" s="1"/>
  <c r="AF220" i="25"/>
  <c r="AG220" i="25" s="1"/>
  <c r="AF221" i="25"/>
  <c r="AG221" i="25" s="1"/>
  <c r="AF222" i="25"/>
  <c r="AG222" i="25" s="1"/>
  <c r="AF223" i="25"/>
  <c r="AG223" i="25" s="1"/>
  <c r="AF224" i="25"/>
  <c r="AG224" i="25" s="1"/>
  <c r="AF225" i="25"/>
  <c r="AG225" i="25" s="1"/>
  <c r="AF226" i="25"/>
  <c r="AG226" i="25" s="1"/>
  <c r="AF227" i="25"/>
  <c r="AG227" i="25" s="1"/>
  <c r="AF228" i="25"/>
  <c r="AG228" i="25" s="1"/>
  <c r="AF229" i="25"/>
  <c r="AG229" i="25" s="1"/>
  <c r="AF230" i="25"/>
  <c r="AG230" i="25" s="1"/>
  <c r="AF231" i="25"/>
  <c r="AG231" i="25" s="1"/>
  <c r="AF232" i="25"/>
  <c r="AG232" i="25" s="1"/>
  <c r="AF233" i="25"/>
  <c r="AG233" i="25" s="1"/>
  <c r="AF234" i="25"/>
  <c r="AG234" i="25" s="1"/>
  <c r="AF235" i="25"/>
  <c r="AG235" i="25" s="1"/>
  <c r="AF236" i="25"/>
  <c r="AG236" i="25" s="1"/>
  <c r="AF237" i="25"/>
  <c r="AG237" i="25" s="1"/>
  <c r="AF238" i="25"/>
  <c r="AG238" i="25" s="1"/>
  <c r="AF239" i="25"/>
  <c r="AG239" i="25" s="1"/>
  <c r="AF240" i="25"/>
  <c r="AG240" i="25" s="1"/>
  <c r="G46" i="25" s="1"/>
  <c r="T46" i="25" s="1"/>
  <c r="AF241" i="25"/>
  <c r="AG241" i="25" s="1"/>
  <c r="AF242" i="25"/>
  <c r="AG242" i="25" s="1"/>
  <c r="AF243" i="25"/>
  <c r="AG243" i="25" s="1"/>
  <c r="G70" i="25" s="1"/>
  <c r="T70" i="25" s="1"/>
  <c r="AF244" i="25"/>
  <c r="AG244" i="25" s="1"/>
  <c r="AF245" i="25"/>
  <c r="AG245" i="25" s="1"/>
  <c r="G52" i="25" s="1"/>
  <c r="T52" i="25" s="1"/>
  <c r="AF246" i="25"/>
  <c r="AG246" i="25" s="1"/>
  <c r="AF247" i="25"/>
  <c r="AG247" i="25" s="1"/>
  <c r="AF248" i="25"/>
  <c r="AG248" i="25" s="1"/>
  <c r="G64" i="25" s="1"/>
  <c r="T64" i="25" s="1"/>
  <c r="AF249" i="25"/>
  <c r="AG249" i="25" s="1"/>
  <c r="G61" i="25" s="1"/>
  <c r="T61" i="25" s="1"/>
  <c r="AF250" i="25"/>
  <c r="AG250" i="25" s="1"/>
  <c r="G82" i="25" s="1"/>
  <c r="T82" i="25" s="1"/>
  <c r="AF251" i="25"/>
  <c r="AG251" i="25" s="1"/>
  <c r="G58" i="25" s="1"/>
  <c r="T58" i="25" s="1"/>
  <c r="AF252" i="25"/>
  <c r="AG252" i="25" s="1"/>
  <c r="AF253" i="25"/>
  <c r="AG253" i="25" s="1"/>
  <c r="AF254" i="25"/>
  <c r="AG254" i="25" s="1"/>
  <c r="AF255" i="25"/>
  <c r="AG255" i="25" s="1"/>
  <c r="AF256" i="25"/>
  <c r="AG256" i="25" s="1"/>
  <c r="AF257" i="25"/>
  <c r="AG257" i="25" s="1"/>
  <c r="AF258" i="25"/>
  <c r="AG258" i="25" s="1"/>
  <c r="AF259" i="25"/>
  <c r="AG259" i="25" s="1"/>
  <c r="AF260" i="25"/>
  <c r="AG260" i="25" s="1"/>
  <c r="AF261" i="25"/>
  <c r="AG261" i="25" s="1"/>
  <c r="AF262" i="25"/>
  <c r="AG262" i="25" s="1"/>
  <c r="AF263" i="25"/>
  <c r="AG263" i="25" s="1"/>
  <c r="AF264" i="25"/>
  <c r="AG264" i="25" s="1"/>
  <c r="AF265" i="25"/>
  <c r="AG265" i="25" s="1"/>
  <c r="AF266" i="25"/>
  <c r="AG266" i="25" s="1"/>
  <c r="AF267" i="25"/>
  <c r="AG267" i="25" s="1"/>
  <c r="AF268" i="25"/>
  <c r="AG268" i="25" s="1"/>
  <c r="AF269" i="25"/>
  <c r="AG269" i="25" s="1"/>
  <c r="AF270" i="25"/>
  <c r="AG270" i="25" s="1"/>
  <c r="AF271" i="25"/>
  <c r="AG271" i="25" s="1"/>
  <c r="AF272" i="25"/>
  <c r="AG272" i="25" s="1"/>
  <c r="AF273" i="25"/>
  <c r="AG273" i="25" s="1"/>
  <c r="AF274" i="25"/>
  <c r="AG274" i="25" s="1"/>
  <c r="AF275" i="25"/>
  <c r="AG275" i="25" s="1"/>
  <c r="AF276" i="25"/>
  <c r="AG276" i="25" s="1"/>
  <c r="AF277" i="25"/>
  <c r="AG277" i="25" s="1"/>
  <c r="AF278" i="25"/>
  <c r="AG278" i="25" s="1"/>
  <c r="AF279" i="25"/>
  <c r="AG279" i="25" s="1"/>
  <c r="AF280" i="25"/>
  <c r="AG280" i="25" s="1"/>
  <c r="AF281" i="25"/>
  <c r="AG281" i="25" s="1"/>
  <c r="AF282" i="25"/>
  <c r="AG282" i="25" s="1"/>
  <c r="AF283" i="25"/>
  <c r="AG283" i="25" s="1"/>
  <c r="AF284" i="25"/>
  <c r="AG284" i="25" s="1"/>
  <c r="AF285" i="25"/>
  <c r="AG285" i="25" s="1"/>
  <c r="AF286" i="25"/>
  <c r="AG286" i="25" s="1"/>
  <c r="AF287" i="25"/>
  <c r="AG287" i="25" s="1"/>
  <c r="AF288" i="25"/>
  <c r="AG288" i="25" s="1"/>
  <c r="AF289" i="25"/>
  <c r="AG289" i="25" s="1"/>
  <c r="AF290" i="25"/>
  <c r="AG290" i="25" s="1"/>
  <c r="AF291" i="25"/>
  <c r="AG291" i="25" s="1"/>
  <c r="AF292" i="25"/>
  <c r="AG292" i="25" s="1"/>
  <c r="AF293" i="25"/>
  <c r="AG293" i="25" s="1"/>
  <c r="AF294" i="25"/>
  <c r="AG294" i="25" s="1"/>
  <c r="AF295" i="25"/>
  <c r="AG295" i="25" s="1"/>
  <c r="AF296" i="25"/>
  <c r="AG296" i="25" s="1"/>
  <c r="AF297" i="25"/>
  <c r="AG297" i="25" s="1"/>
  <c r="AF298" i="25"/>
  <c r="AG298" i="25" s="1"/>
  <c r="AF299" i="25"/>
  <c r="AG299" i="25" s="1"/>
  <c r="AF300" i="25"/>
  <c r="AG300" i="25" s="1"/>
  <c r="AF301" i="25"/>
  <c r="AG301" i="25" s="1"/>
  <c r="AF302" i="25"/>
  <c r="AG302" i="25" s="1"/>
  <c r="AF303" i="25"/>
  <c r="AG303" i="25" s="1"/>
  <c r="AF304" i="25"/>
  <c r="AG304" i="25" s="1"/>
  <c r="AF305" i="25"/>
  <c r="AG305" i="25" s="1"/>
  <c r="AF306" i="25"/>
  <c r="AG306" i="25" s="1"/>
  <c r="AF307" i="25"/>
  <c r="AG307" i="25" s="1"/>
  <c r="AF308" i="25"/>
  <c r="AG308" i="25" s="1"/>
  <c r="AF309" i="25"/>
  <c r="AG309" i="25" s="1"/>
  <c r="AF310" i="25"/>
  <c r="AG310" i="25" s="1"/>
  <c r="AF311" i="25"/>
  <c r="AG311" i="25" s="1"/>
  <c r="AF312" i="25"/>
  <c r="AG312" i="25" s="1"/>
  <c r="AF313" i="25"/>
  <c r="AG313" i="25" s="1"/>
  <c r="AF314" i="25"/>
  <c r="AG314" i="25" s="1"/>
  <c r="AF315" i="25"/>
  <c r="AG315" i="25" s="1"/>
  <c r="AF316" i="25"/>
  <c r="AG316" i="25" s="1"/>
  <c r="AF317" i="25"/>
  <c r="AG317" i="25" s="1"/>
  <c r="AF318" i="25"/>
  <c r="AG318" i="25" s="1"/>
  <c r="AF319" i="25"/>
  <c r="AG319" i="25" s="1"/>
  <c r="AF320" i="25"/>
  <c r="AG320" i="25" s="1"/>
  <c r="AF321" i="25"/>
  <c r="AG321" i="25" s="1"/>
  <c r="AF322" i="25"/>
  <c r="AG322" i="25" s="1"/>
  <c r="AF323" i="25"/>
  <c r="AG323" i="25" s="1"/>
  <c r="AF324" i="25"/>
  <c r="AG324" i="25" s="1"/>
  <c r="AF325" i="25"/>
  <c r="AG325" i="25" s="1"/>
  <c r="AF326" i="25"/>
  <c r="AG326" i="25" s="1"/>
  <c r="AF327" i="25"/>
  <c r="AG327" i="25" s="1"/>
  <c r="AF328" i="25"/>
  <c r="AG328" i="25" s="1"/>
  <c r="AF329" i="25"/>
  <c r="AG329" i="25" s="1"/>
  <c r="AF330" i="25"/>
  <c r="AG330" i="25" s="1"/>
  <c r="AF331" i="25"/>
  <c r="AG331" i="25" s="1"/>
  <c r="AF332" i="25"/>
  <c r="AG332" i="25" s="1"/>
  <c r="AF333" i="25"/>
  <c r="AG333" i="25" s="1"/>
  <c r="AF334" i="25"/>
  <c r="AG334" i="25" s="1"/>
  <c r="AF335" i="25"/>
  <c r="AG335" i="25" s="1"/>
  <c r="AF336" i="25"/>
  <c r="AG336" i="25" s="1"/>
  <c r="AF337" i="25"/>
  <c r="AG337" i="25" s="1"/>
  <c r="AF338" i="25"/>
  <c r="AG338" i="25" s="1"/>
  <c r="AF339" i="25"/>
  <c r="AG339" i="25" s="1"/>
  <c r="AF340" i="25"/>
  <c r="AG340" i="25" s="1"/>
  <c r="AF341" i="25"/>
  <c r="AG341" i="25" s="1"/>
  <c r="AF342" i="25"/>
  <c r="AG342" i="25" s="1"/>
  <c r="AF343" i="25"/>
  <c r="AG343" i="25" s="1"/>
  <c r="AF344" i="25"/>
  <c r="AG344" i="25" s="1"/>
  <c r="AF345" i="25"/>
  <c r="AG345" i="25" s="1"/>
  <c r="AF346" i="25"/>
  <c r="AG346" i="25" s="1"/>
  <c r="AF347" i="25"/>
  <c r="AG347" i="25" s="1"/>
  <c r="AF348" i="25"/>
  <c r="AG348" i="25" s="1"/>
  <c r="AF349" i="25"/>
  <c r="AG349" i="25" s="1"/>
  <c r="AF350" i="25"/>
  <c r="AG350" i="25" s="1"/>
  <c r="AF351" i="25"/>
  <c r="AG351" i="25" s="1"/>
  <c r="AF352" i="25"/>
  <c r="AG352" i="25" s="1"/>
  <c r="AF353" i="25"/>
  <c r="AG353" i="25" s="1"/>
  <c r="AF354" i="25"/>
  <c r="AG354" i="25" s="1"/>
  <c r="AF355" i="25"/>
  <c r="AG355" i="25" s="1"/>
  <c r="AF356" i="25"/>
  <c r="AG356" i="25" s="1"/>
  <c r="AF357" i="25"/>
  <c r="AG357" i="25" s="1"/>
  <c r="AF358" i="25"/>
  <c r="AG358" i="25" s="1"/>
  <c r="AF359" i="25"/>
  <c r="AG359" i="25" s="1"/>
  <c r="AF360" i="25"/>
  <c r="AG360" i="25" s="1"/>
  <c r="AF361" i="25"/>
  <c r="AG361" i="25" s="1"/>
  <c r="AF362" i="25"/>
  <c r="AG362" i="25" s="1"/>
  <c r="AF363" i="25"/>
  <c r="AG363" i="25" s="1"/>
  <c r="AF364" i="25"/>
  <c r="AG364" i="25" s="1"/>
  <c r="AF365" i="25"/>
  <c r="AG365" i="25" s="1"/>
  <c r="AF366" i="25"/>
  <c r="AG366" i="25" s="1"/>
  <c r="AF367" i="25"/>
  <c r="AG367" i="25" s="1"/>
  <c r="AF368" i="25"/>
  <c r="AG368" i="25" s="1"/>
  <c r="AF369" i="25"/>
  <c r="AG369" i="25" s="1"/>
  <c r="AF370" i="25"/>
  <c r="AG370" i="25" s="1"/>
  <c r="AF371" i="25"/>
  <c r="AG371" i="25" s="1"/>
  <c r="AF372" i="25"/>
  <c r="AG372" i="25" s="1"/>
  <c r="AF373" i="25"/>
  <c r="AG373" i="25" s="1"/>
  <c r="AF374" i="25"/>
  <c r="AG374" i="25" s="1"/>
  <c r="AF375" i="25"/>
  <c r="AG375" i="25" s="1"/>
  <c r="AF376" i="25"/>
  <c r="AG376" i="25" s="1"/>
  <c r="AF377" i="25"/>
  <c r="AG377" i="25" s="1"/>
  <c r="AF378" i="25"/>
  <c r="AG378" i="25" s="1"/>
  <c r="AF379" i="25"/>
  <c r="AG379" i="25" s="1"/>
  <c r="AF380" i="25"/>
  <c r="AG380" i="25" s="1"/>
  <c r="AF381" i="25"/>
  <c r="AG381" i="25" s="1"/>
  <c r="AF382" i="25"/>
  <c r="AG382" i="25" s="1"/>
  <c r="AF383" i="25"/>
  <c r="AG383" i="25" s="1"/>
  <c r="AF384" i="25"/>
  <c r="AG384" i="25" s="1"/>
  <c r="AF385" i="25"/>
  <c r="AG385" i="25" s="1"/>
  <c r="AF386" i="25"/>
  <c r="AG386" i="25" s="1"/>
  <c r="AF387" i="25"/>
  <c r="AG387" i="25" s="1"/>
  <c r="AF388" i="25"/>
  <c r="AG388" i="25" s="1"/>
  <c r="AF389" i="25"/>
  <c r="AG389" i="25" s="1"/>
  <c r="AF390" i="25"/>
  <c r="AG390" i="25" s="1"/>
  <c r="AF391" i="25"/>
  <c r="AG391" i="25" s="1"/>
  <c r="AF392" i="25"/>
  <c r="AG392" i="25" s="1"/>
  <c r="AF393" i="25"/>
  <c r="AG393" i="25" s="1"/>
  <c r="AF394" i="25"/>
  <c r="AG394" i="25" s="1"/>
  <c r="AF395" i="25"/>
  <c r="AG395" i="25" s="1"/>
  <c r="AF396" i="25"/>
  <c r="AG396" i="25" s="1"/>
  <c r="AF397" i="25"/>
  <c r="AG397" i="25" s="1"/>
  <c r="AF398" i="25"/>
  <c r="AG398" i="25" s="1"/>
  <c r="AF399" i="25"/>
  <c r="AG399" i="25" s="1"/>
  <c r="AF400" i="25"/>
  <c r="AG400" i="25" s="1"/>
  <c r="AF401" i="25"/>
  <c r="AG401" i="25" s="1"/>
  <c r="AF402" i="25"/>
  <c r="AG402" i="25" s="1"/>
  <c r="AF403" i="25"/>
  <c r="AG403" i="25" s="1"/>
  <c r="AF404" i="25"/>
  <c r="AG404" i="25" s="1"/>
  <c r="AF405" i="25"/>
  <c r="AG405" i="25" s="1"/>
  <c r="AF406" i="25"/>
  <c r="AG406" i="25" s="1"/>
  <c r="AF407" i="25"/>
  <c r="AG407" i="25" s="1"/>
  <c r="AF408" i="25"/>
  <c r="AG408" i="25" s="1"/>
  <c r="AF409" i="25"/>
  <c r="AG409" i="25" s="1"/>
  <c r="AF410" i="25"/>
  <c r="AG410" i="25" s="1"/>
  <c r="AF411" i="25"/>
  <c r="AG411" i="25" s="1"/>
  <c r="AF412" i="25"/>
  <c r="AG412" i="25" s="1"/>
  <c r="AF413" i="25"/>
  <c r="AG413" i="25" s="1"/>
  <c r="AF414" i="25"/>
  <c r="AG414" i="25" s="1"/>
  <c r="AF415" i="25"/>
  <c r="AG415" i="25" s="1"/>
  <c r="AF416" i="25"/>
  <c r="AG416" i="25" s="1"/>
  <c r="AF417" i="25"/>
  <c r="AG417" i="25" s="1"/>
  <c r="AF418" i="25"/>
  <c r="AG418" i="25" s="1"/>
  <c r="AF419" i="25"/>
  <c r="AG419" i="25" s="1"/>
  <c r="AF420" i="25"/>
  <c r="AG420" i="25" s="1"/>
  <c r="AF421" i="25"/>
  <c r="AG421" i="25" s="1"/>
  <c r="AF422" i="25"/>
  <c r="AG422" i="25" s="1"/>
  <c r="AF423" i="25"/>
  <c r="AG423" i="25" s="1"/>
  <c r="AF424" i="25"/>
  <c r="AG424" i="25" s="1"/>
  <c r="AF425" i="25"/>
  <c r="AG425" i="25" s="1"/>
  <c r="AF426" i="25"/>
  <c r="AG426" i="25" s="1"/>
  <c r="AF427" i="25"/>
  <c r="AG427" i="25" s="1"/>
  <c r="AF428" i="25"/>
  <c r="AG428" i="25" s="1"/>
  <c r="AF429" i="25"/>
  <c r="AG429" i="25" s="1"/>
  <c r="AF430" i="25"/>
  <c r="AG430" i="25" s="1"/>
  <c r="AF431" i="25"/>
  <c r="AG431" i="25" s="1"/>
  <c r="AF432" i="25"/>
  <c r="AG432" i="25" s="1"/>
  <c r="AF433" i="25"/>
  <c r="AG433" i="25" s="1"/>
  <c r="AF434" i="25"/>
  <c r="AG434" i="25" s="1"/>
  <c r="AF435" i="25"/>
  <c r="AG435" i="25" s="1"/>
  <c r="AF436" i="25"/>
  <c r="AG436" i="25" s="1"/>
  <c r="AF437" i="25"/>
  <c r="AG437" i="25" s="1"/>
  <c r="AF438" i="25"/>
  <c r="AG438" i="25" s="1"/>
  <c r="AF439" i="25"/>
  <c r="AG439" i="25" s="1"/>
  <c r="AF440" i="25"/>
  <c r="AG440" i="25" s="1"/>
  <c r="AF441" i="25"/>
  <c r="AG441" i="25" s="1"/>
  <c r="AF442" i="25"/>
  <c r="AG442" i="25" s="1"/>
  <c r="AF443" i="25"/>
  <c r="AG443" i="25" s="1"/>
  <c r="AF444" i="25"/>
  <c r="AG444" i="25" s="1"/>
  <c r="AF445" i="25"/>
  <c r="AG445" i="25" s="1"/>
  <c r="AF446" i="25"/>
  <c r="AG446" i="25" s="1"/>
  <c r="AF447" i="25"/>
  <c r="AG447" i="25" s="1"/>
  <c r="AF448" i="25"/>
  <c r="AG448" i="25" s="1"/>
  <c r="AF449" i="25"/>
  <c r="AG449" i="25" s="1"/>
  <c r="AF450" i="25"/>
  <c r="AG450" i="25" s="1"/>
  <c r="AF451" i="25"/>
  <c r="AG451" i="25" s="1"/>
  <c r="AF452" i="25"/>
  <c r="AG452" i="25" s="1"/>
  <c r="AF453" i="25"/>
  <c r="AG453" i="25" s="1"/>
  <c r="AF454" i="25"/>
  <c r="AG454" i="25" s="1"/>
  <c r="AF455" i="25"/>
  <c r="AG455" i="25" s="1"/>
  <c r="AF456" i="25"/>
  <c r="AG456" i="25" s="1"/>
  <c r="AF457" i="25"/>
  <c r="AG457" i="25" s="1"/>
  <c r="AF458" i="25"/>
  <c r="AG458" i="25" s="1"/>
  <c r="AF459" i="25"/>
  <c r="AG459" i="25" s="1"/>
  <c r="AF460" i="25"/>
  <c r="AG460" i="25" s="1"/>
  <c r="AF461" i="25"/>
  <c r="AG461" i="25" s="1"/>
  <c r="AF462" i="25"/>
  <c r="AG462" i="25" s="1"/>
  <c r="AF463" i="25"/>
  <c r="AG463" i="25" s="1"/>
  <c r="AF464" i="25"/>
  <c r="AG464" i="25" s="1"/>
  <c r="AF465" i="25"/>
  <c r="AG465" i="25" s="1"/>
  <c r="AF466" i="25"/>
  <c r="AG466" i="25" s="1"/>
  <c r="AF467" i="25"/>
  <c r="AG467" i="25" s="1"/>
  <c r="AF468" i="25"/>
  <c r="AG468" i="25" s="1"/>
  <c r="AF469" i="25"/>
  <c r="AG469" i="25" s="1"/>
  <c r="AF470" i="25"/>
  <c r="AG470" i="25" s="1"/>
  <c r="AF471" i="25"/>
  <c r="AG471" i="25" s="1"/>
  <c r="AF472" i="25"/>
  <c r="AG472" i="25" s="1"/>
  <c r="AF473" i="25"/>
  <c r="AG473" i="25" s="1"/>
  <c r="AF474" i="25"/>
  <c r="AG474" i="25" s="1"/>
  <c r="AF475" i="25"/>
  <c r="AG475" i="25" s="1"/>
  <c r="AF476" i="25"/>
  <c r="AG476" i="25" s="1"/>
  <c r="AF477" i="25"/>
  <c r="AG477" i="25" s="1"/>
  <c r="AF478" i="25"/>
  <c r="AG478" i="25" s="1"/>
  <c r="AF479" i="25"/>
  <c r="AG479" i="25" s="1"/>
  <c r="AF480" i="25"/>
  <c r="AG480" i="25" s="1"/>
  <c r="AF481" i="25"/>
  <c r="AG481" i="25" s="1"/>
  <c r="AF482" i="25"/>
  <c r="AG482" i="25" s="1"/>
  <c r="AF483" i="25"/>
  <c r="AG483" i="25" s="1"/>
  <c r="AF484" i="25"/>
  <c r="AG484" i="25" s="1"/>
  <c r="AF485" i="25"/>
  <c r="AG485" i="25" s="1"/>
  <c r="AF486" i="25"/>
  <c r="AG486" i="25" s="1"/>
  <c r="AF487" i="25"/>
  <c r="AG487" i="25" s="1"/>
  <c r="AF488" i="25"/>
  <c r="AG488" i="25" s="1"/>
  <c r="AF489" i="25"/>
  <c r="AG489" i="25" s="1"/>
  <c r="AF490" i="25"/>
  <c r="AG490" i="25" s="1"/>
  <c r="AF491" i="25"/>
  <c r="AG491" i="25" s="1"/>
  <c r="AF492" i="25"/>
  <c r="AG492" i="25" s="1"/>
  <c r="AF493" i="25"/>
  <c r="AG493" i="25" s="1"/>
  <c r="AF494" i="25"/>
  <c r="AG494" i="25" s="1"/>
  <c r="AF495" i="25"/>
  <c r="AG495" i="25" s="1"/>
  <c r="AF496" i="25"/>
  <c r="AG496" i="25" s="1"/>
  <c r="AF497" i="25"/>
  <c r="AG497" i="25" s="1"/>
  <c r="AF498" i="25"/>
  <c r="AG498" i="25" s="1"/>
  <c r="AF499" i="25"/>
  <c r="AG499" i="25" s="1"/>
  <c r="AF500" i="25"/>
  <c r="AG500" i="25" s="1"/>
  <c r="AF501" i="25"/>
  <c r="AG501" i="25" s="1"/>
  <c r="AF502" i="25"/>
  <c r="AG502" i="25" s="1"/>
  <c r="AF503" i="25"/>
  <c r="AG503" i="25" s="1"/>
  <c r="AF504" i="25"/>
  <c r="AG504" i="25" s="1"/>
  <c r="AF505" i="25"/>
  <c r="AG505" i="25" s="1"/>
  <c r="AF506" i="25"/>
  <c r="AG506" i="25" s="1"/>
  <c r="AF507" i="25"/>
  <c r="AG507" i="25" s="1"/>
  <c r="AF508" i="25"/>
  <c r="AG508" i="25" s="1"/>
  <c r="AF509" i="25"/>
  <c r="AG509" i="25" s="1"/>
  <c r="AF510" i="25"/>
  <c r="AG510" i="25" s="1"/>
  <c r="AF511" i="25"/>
  <c r="AG511" i="25" s="1"/>
  <c r="AF512" i="25"/>
  <c r="AG512" i="25" s="1"/>
  <c r="AF513" i="25"/>
  <c r="AG513" i="25" s="1"/>
  <c r="AF514" i="25"/>
  <c r="AG514" i="25" s="1"/>
  <c r="AF515" i="25"/>
  <c r="AG515" i="25" s="1"/>
  <c r="AF516" i="25"/>
  <c r="AG516" i="25" s="1"/>
  <c r="AF517" i="25"/>
  <c r="AG517" i="25" s="1"/>
  <c r="AF518" i="25"/>
  <c r="AG518" i="25" s="1"/>
  <c r="AF519" i="25"/>
  <c r="AG519" i="25" s="1"/>
  <c r="AF520" i="25"/>
  <c r="AG520" i="25" s="1"/>
  <c r="AF521" i="25"/>
  <c r="AG521" i="25" s="1"/>
  <c r="AF522" i="25"/>
  <c r="AG522" i="25" s="1"/>
  <c r="AF523" i="25"/>
  <c r="AG523" i="25" s="1"/>
  <c r="AF524" i="25"/>
  <c r="AG524" i="25" s="1"/>
  <c r="AF525" i="25"/>
  <c r="AG525" i="25" s="1"/>
  <c r="AF526" i="25"/>
  <c r="AG526" i="25" s="1"/>
  <c r="AF527" i="25"/>
  <c r="AG527" i="25" s="1"/>
  <c r="AF528" i="25"/>
  <c r="AG528" i="25" s="1"/>
  <c r="AF529" i="25"/>
  <c r="AG529" i="25" s="1"/>
  <c r="AF530" i="25"/>
  <c r="AG530" i="25" s="1"/>
  <c r="AF531" i="25"/>
  <c r="AG531" i="25" s="1"/>
  <c r="AF532" i="25"/>
  <c r="AG532" i="25" s="1"/>
  <c r="AF533" i="25"/>
  <c r="AG533" i="25" s="1"/>
  <c r="AF534" i="25"/>
  <c r="AG534" i="25" s="1"/>
  <c r="AF535" i="25"/>
  <c r="AG535" i="25" s="1"/>
  <c r="AF536" i="25"/>
  <c r="AG536" i="25" s="1"/>
  <c r="AF537" i="25"/>
  <c r="AG537" i="25" s="1"/>
  <c r="AF538" i="25"/>
  <c r="AG538" i="25" s="1"/>
  <c r="AF539" i="25"/>
  <c r="AG539" i="25" s="1"/>
  <c r="AF540" i="25"/>
  <c r="AG540" i="25" s="1"/>
  <c r="AF541" i="25"/>
  <c r="AG541" i="25" s="1"/>
  <c r="AF542" i="25"/>
  <c r="AG542" i="25" s="1"/>
  <c r="AF543" i="25"/>
  <c r="AG543" i="25" s="1"/>
  <c r="AF544" i="25"/>
  <c r="AG544" i="25" s="1"/>
  <c r="AF545" i="25"/>
  <c r="AG545" i="25" s="1"/>
  <c r="AF546" i="25"/>
  <c r="AG546" i="25" s="1"/>
  <c r="AF547" i="25"/>
  <c r="AG547" i="25" s="1"/>
  <c r="AF548" i="25"/>
  <c r="AG548" i="25" s="1"/>
  <c r="AF549" i="25"/>
  <c r="AG549" i="25" s="1"/>
  <c r="AF550" i="25"/>
  <c r="AG550" i="25" s="1"/>
  <c r="AF551" i="25"/>
  <c r="AG551" i="25" s="1"/>
  <c r="AF552" i="25"/>
  <c r="AG552" i="25" s="1"/>
  <c r="AF553" i="25"/>
  <c r="AG553" i="25" s="1"/>
  <c r="AF554" i="25"/>
  <c r="AG554" i="25" s="1"/>
  <c r="AF555" i="25"/>
  <c r="AG555" i="25" s="1"/>
  <c r="AF556" i="25"/>
  <c r="AG556" i="25" s="1"/>
  <c r="AF557" i="25"/>
  <c r="AG557" i="25" s="1"/>
  <c r="AF558" i="25"/>
  <c r="AG558" i="25" s="1"/>
  <c r="AF559" i="25"/>
  <c r="AG559" i="25" s="1"/>
  <c r="AF560" i="25"/>
  <c r="AG560" i="25" s="1"/>
  <c r="AF561" i="25"/>
  <c r="AG561" i="25" s="1"/>
  <c r="AF562" i="25"/>
  <c r="AG562" i="25" s="1"/>
  <c r="AF563" i="25"/>
  <c r="AG563" i="25" s="1"/>
  <c r="AF564" i="25"/>
  <c r="AG564" i="25" s="1"/>
  <c r="AF565" i="25"/>
  <c r="AG565" i="25" s="1"/>
  <c r="AF566" i="25"/>
  <c r="AG566" i="25" s="1"/>
  <c r="AF567" i="25"/>
  <c r="AG567" i="25" s="1"/>
  <c r="AF568" i="25"/>
  <c r="AG568" i="25" s="1"/>
  <c r="AF569" i="25"/>
  <c r="AG569" i="25" s="1"/>
  <c r="AF570" i="25"/>
  <c r="AG570" i="25" s="1"/>
  <c r="AF571" i="25"/>
  <c r="AG571" i="25" s="1"/>
  <c r="AF572" i="25"/>
  <c r="AG572" i="25" s="1"/>
  <c r="AF573" i="25"/>
  <c r="AG573" i="25" s="1"/>
  <c r="AF574" i="25"/>
  <c r="AG574" i="25" s="1"/>
  <c r="AF575" i="25"/>
  <c r="AG575" i="25" s="1"/>
  <c r="AF576" i="25"/>
  <c r="AG576" i="25" s="1"/>
  <c r="AF577" i="25"/>
  <c r="AG577" i="25" s="1"/>
  <c r="AF578" i="25"/>
  <c r="AG578" i="25" s="1"/>
  <c r="AF579" i="25"/>
  <c r="AG579" i="25" s="1"/>
  <c r="AF580" i="25"/>
  <c r="AG580" i="25" s="1"/>
  <c r="AF581" i="25"/>
  <c r="AG581" i="25" s="1"/>
  <c r="AF582" i="25"/>
  <c r="AG582" i="25" s="1"/>
  <c r="AF583" i="25"/>
  <c r="AG583" i="25" s="1"/>
  <c r="AF584" i="25"/>
  <c r="AG584" i="25" s="1"/>
  <c r="AF585" i="25"/>
  <c r="AG585" i="25" s="1"/>
  <c r="AF586" i="25"/>
  <c r="AG586" i="25" s="1"/>
  <c r="AF587" i="25"/>
  <c r="AG587" i="25" s="1"/>
  <c r="AF588" i="25"/>
  <c r="AG588" i="25" s="1"/>
  <c r="G10" i="25" s="1"/>
  <c r="T10" i="25" s="1"/>
  <c r="AF589" i="25"/>
  <c r="AG589" i="25" s="1"/>
  <c r="AF590" i="25"/>
  <c r="AG590" i="25" s="1"/>
  <c r="G18" i="25" s="1"/>
  <c r="T18" i="25" s="1"/>
  <c r="AF591" i="25"/>
  <c r="AG591" i="25" s="1"/>
  <c r="AF592" i="25"/>
  <c r="AG592" i="25" s="1"/>
  <c r="AF593" i="25"/>
  <c r="AG593" i="25" s="1"/>
  <c r="AF594" i="25"/>
  <c r="AG594" i="25" s="1"/>
  <c r="AF595" i="25"/>
  <c r="AG595" i="25" s="1"/>
  <c r="AF596" i="25"/>
  <c r="AG596" i="25" s="1"/>
  <c r="AF597" i="25"/>
  <c r="AG597" i="25" s="1"/>
  <c r="AF598" i="25"/>
  <c r="AG598" i="25" s="1"/>
  <c r="AF599" i="25"/>
  <c r="AG599" i="25" s="1"/>
  <c r="AF600" i="25"/>
  <c r="AG600" i="25" s="1"/>
  <c r="AF601" i="25"/>
  <c r="AG601" i="25" s="1"/>
  <c r="AF602" i="25"/>
  <c r="AG602" i="25" s="1"/>
  <c r="AF603" i="25"/>
  <c r="AG603" i="25" s="1"/>
  <c r="AF604" i="25"/>
  <c r="AG604" i="25" s="1"/>
  <c r="AF605" i="25"/>
  <c r="AG605" i="25" s="1"/>
  <c r="AF606" i="25"/>
  <c r="AG606" i="25" s="1"/>
  <c r="AF607" i="25"/>
  <c r="AG607" i="25" s="1"/>
  <c r="AF608" i="25"/>
  <c r="AG608" i="25" s="1"/>
  <c r="AF609" i="25"/>
  <c r="AG609" i="25" s="1"/>
  <c r="AF610" i="25"/>
  <c r="AG610" i="25" s="1"/>
  <c r="AF611" i="25"/>
  <c r="AG611" i="25" s="1"/>
  <c r="AF612" i="25"/>
  <c r="AG612" i="25" s="1"/>
  <c r="AF613" i="25"/>
  <c r="AG613" i="25" s="1"/>
  <c r="AF614" i="25"/>
  <c r="AG614" i="25" s="1"/>
  <c r="AF615" i="25"/>
  <c r="AG615" i="25" s="1"/>
  <c r="AF616" i="25"/>
  <c r="AG616" i="25" s="1"/>
  <c r="AF617" i="25"/>
  <c r="AG617" i="25" s="1"/>
  <c r="AF618" i="25"/>
  <c r="AG618" i="25" s="1"/>
  <c r="AF619" i="25"/>
  <c r="AG619" i="25" s="1"/>
  <c r="AF620" i="25"/>
  <c r="AG620" i="25" s="1"/>
  <c r="AF621" i="25"/>
  <c r="AG621" i="25" s="1"/>
  <c r="AF622" i="25"/>
  <c r="AG622" i="25" s="1"/>
  <c r="AF623" i="25"/>
  <c r="AG623" i="25" s="1"/>
  <c r="AF624" i="25"/>
  <c r="AG624" i="25" s="1"/>
  <c r="AF625" i="25"/>
  <c r="AG625" i="25" s="1"/>
  <c r="AF626" i="25"/>
  <c r="AG626" i="25" s="1"/>
  <c r="AF627" i="25"/>
  <c r="AG627" i="25" s="1"/>
  <c r="AF628" i="25"/>
  <c r="AG628" i="25" s="1"/>
  <c r="AF629" i="25"/>
  <c r="AG629" i="25" s="1"/>
  <c r="AF630" i="25"/>
  <c r="AG630" i="25" s="1"/>
  <c r="AF631" i="25"/>
  <c r="AG631" i="25" s="1"/>
  <c r="AF632" i="25"/>
  <c r="AG632" i="25" s="1"/>
  <c r="AF633" i="25"/>
  <c r="AG633" i="25" s="1"/>
  <c r="AF634" i="25"/>
  <c r="AG634" i="25" s="1"/>
  <c r="AF635" i="25"/>
  <c r="AG635" i="25" s="1"/>
  <c r="AF636" i="25"/>
  <c r="AG636" i="25" s="1"/>
  <c r="AF637" i="25"/>
  <c r="AG637" i="25" s="1"/>
  <c r="AF638" i="25"/>
  <c r="AG638" i="25" s="1"/>
  <c r="AF639" i="25"/>
  <c r="AG639" i="25" s="1"/>
  <c r="AF640" i="25"/>
  <c r="AG640" i="25" s="1"/>
  <c r="AF641" i="25"/>
  <c r="AG641" i="25" s="1"/>
  <c r="AF642" i="25"/>
  <c r="AG642" i="25" s="1"/>
  <c r="AF643" i="25"/>
  <c r="AG643" i="25" s="1"/>
  <c r="AF644" i="25"/>
  <c r="AG644" i="25" s="1"/>
  <c r="AF645" i="25"/>
  <c r="AG645" i="25" s="1"/>
  <c r="AF646" i="25"/>
  <c r="AG646" i="25" s="1"/>
  <c r="AF647" i="25"/>
  <c r="AG647" i="25" s="1"/>
  <c r="AF648" i="25"/>
  <c r="AG648" i="25" s="1"/>
  <c r="AF649" i="25"/>
  <c r="AG649" i="25" s="1"/>
  <c r="AF650" i="25"/>
  <c r="AG650" i="25" s="1"/>
  <c r="AF651" i="25"/>
  <c r="AG651" i="25" s="1"/>
  <c r="AF652" i="25"/>
  <c r="AG652" i="25" s="1"/>
  <c r="AF653" i="25"/>
  <c r="AG653" i="25" s="1"/>
  <c r="AF654" i="25"/>
  <c r="AG654" i="25" s="1"/>
  <c r="AF655" i="25"/>
  <c r="AG655" i="25" s="1"/>
  <c r="AF656" i="25"/>
  <c r="AG656" i="25" s="1"/>
  <c r="AF657" i="25"/>
  <c r="AG657" i="25" s="1"/>
  <c r="AF658" i="25"/>
  <c r="AG658" i="25" s="1"/>
  <c r="AF659" i="25"/>
  <c r="AG659" i="25" s="1"/>
  <c r="AF660" i="25"/>
  <c r="AG660" i="25" s="1"/>
  <c r="AF661" i="25"/>
  <c r="AG661" i="25" s="1"/>
  <c r="AF662" i="25"/>
  <c r="AG662" i="25" s="1"/>
  <c r="AF663" i="25"/>
  <c r="AG663" i="25" s="1"/>
  <c r="AF664" i="25"/>
  <c r="AG664" i="25" s="1"/>
  <c r="AF665" i="25"/>
  <c r="AG665" i="25" s="1"/>
  <c r="AF666" i="25"/>
  <c r="AG666" i="25" s="1"/>
  <c r="AF667" i="25"/>
  <c r="AG667" i="25" s="1"/>
  <c r="AF668" i="25"/>
  <c r="AG668" i="25" s="1"/>
  <c r="AF669" i="25"/>
  <c r="AG669" i="25" s="1"/>
  <c r="AF670" i="25"/>
  <c r="AG670" i="25" s="1"/>
  <c r="AF671" i="25"/>
  <c r="AG671" i="25" s="1"/>
  <c r="AF672" i="25"/>
  <c r="AG672" i="25" s="1"/>
  <c r="AF673" i="25"/>
  <c r="AG673" i="25" s="1"/>
  <c r="AF674" i="25"/>
  <c r="AG674" i="25" s="1"/>
  <c r="AF675" i="25"/>
  <c r="AG675" i="25" s="1"/>
  <c r="AF676" i="25"/>
  <c r="AG676" i="25" s="1"/>
  <c r="AF677" i="25"/>
  <c r="AG677" i="25" s="1"/>
  <c r="AF678" i="25"/>
  <c r="AG678" i="25" s="1"/>
  <c r="AF679" i="25"/>
  <c r="AG679" i="25" s="1"/>
  <c r="AF680" i="25"/>
  <c r="AG680" i="25" s="1"/>
  <c r="AF681" i="25"/>
  <c r="AG681" i="25" s="1"/>
  <c r="AF682" i="25"/>
  <c r="AG682" i="25" s="1"/>
  <c r="AF683" i="25"/>
  <c r="AG683" i="25" s="1"/>
  <c r="AF684" i="25"/>
  <c r="AG684" i="25" s="1"/>
  <c r="AF685" i="25"/>
  <c r="AG685" i="25" s="1"/>
  <c r="AF686" i="25"/>
  <c r="AG686" i="25" s="1"/>
  <c r="AF687" i="25"/>
  <c r="AG687" i="25" s="1"/>
  <c r="AF688" i="25"/>
  <c r="AG688" i="25" s="1"/>
  <c r="AF689" i="25"/>
  <c r="AG689" i="25" s="1"/>
  <c r="AF690" i="25"/>
  <c r="AG690" i="25" s="1"/>
  <c r="AF691" i="25"/>
  <c r="AG691" i="25" s="1"/>
  <c r="AF692" i="25"/>
  <c r="AG692" i="25" s="1"/>
  <c r="AF693" i="25"/>
  <c r="AG693" i="25" s="1"/>
  <c r="AF694" i="25"/>
  <c r="AG694" i="25" s="1"/>
  <c r="AF695" i="25"/>
  <c r="AG695" i="25" s="1"/>
  <c r="AF696" i="25"/>
  <c r="AG696" i="25" s="1"/>
  <c r="AF697" i="25"/>
  <c r="AG697" i="25" s="1"/>
  <c r="AF698" i="25"/>
  <c r="AG698" i="25" s="1"/>
  <c r="AF699" i="25"/>
  <c r="AG699" i="25" s="1"/>
  <c r="AF700" i="25"/>
  <c r="AG700" i="25" s="1"/>
  <c r="AF701" i="25"/>
  <c r="AG701" i="25" s="1"/>
  <c r="AF702" i="25"/>
  <c r="AG702" i="25" s="1"/>
  <c r="AF703" i="25"/>
  <c r="AG703" i="25" s="1"/>
  <c r="AF704" i="25"/>
  <c r="AG704" i="25" s="1"/>
  <c r="AF705" i="25"/>
  <c r="AG705" i="25" s="1"/>
  <c r="AF706" i="25"/>
  <c r="AG706" i="25" s="1"/>
  <c r="AF707" i="25"/>
  <c r="AG707" i="25" s="1"/>
  <c r="AF708" i="25"/>
  <c r="AG708" i="25" s="1"/>
  <c r="AF709" i="25"/>
  <c r="AG709" i="25" s="1"/>
  <c r="AF710" i="25"/>
  <c r="AG710" i="25" s="1"/>
  <c r="AF711" i="25"/>
  <c r="AG711" i="25" s="1"/>
  <c r="AF712" i="25"/>
  <c r="AG712" i="25" s="1"/>
  <c r="AF713" i="25"/>
  <c r="AG713" i="25" s="1"/>
  <c r="AF714" i="25"/>
  <c r="AG714" i="25" s="1"/>
  <c r="AF715" i="25"/>
  <c r="AG715" i="25" s="1"/>
  <c r="AF716" i="25"/>
  <c r="AG716" i="25" s="1"/>
  <c r="AF717" i="25"/>
  <c r="AG717" i="25" s="1"/>
  <c r="AF718" i="25"/>
  <c r="AG718" i="25" s="1"/>
  <c r="AF719" i="25"/>
  <c r="AG719" i="25" s="1"/>
  <c r="AF720" i="25"/>
  <c r="AG720" i="25" s="1"/>
  <c r="AF721" i="25"/>
  <c r="AG721" i="25" s="1"/>
  <c r="AF722" i="25"/>
  <c r="AG722" i="25" s="1"/>
  <c r="AF723" i="25"/>
  <c r="AG723" i="25" s="1"/>
  <c r="AF724" i="25"/>
  <c r="AG724" i="25" s="1"/>
  <c r="AF725" i="25"/>
  <c r="AG725" i="25" s="1"/>
  <c r="AF726" i="25"/>
  <c r="AG726" i="25" s="1"/>
  <c r="AF727" i="25"/>
  <c r="AG727" i="25" s="1"/>
  <c r="AF728" i="25"/>
  <c r="AG728" i="25" s="1"/>
  <c r="AF729" i="25"/>
  <c r="AG729" i="25" s="1"/>
  <c r="AF730" i="25"/>
  <c r="AG730" i="25" s="1"/>
  <c r="AF731" i="25"/>
  <c r="AG731" i="25" s="1"/>
  <c r="AF732" i="25"/>
  <c r="AG732" i="25" s="1"/>
  <c r="AF733" i="25"/>
  <c r="AG733" i="25" s="1"/>
  <c r="AF734" i="25"/>
  <c r="AG734" i="25" s="1"/>
  <c r="AF735" i="25"/>
  <c r="AG735" i="25" s="1"/>
  <c r="AF736" i="25"/>
  <c r="AG736" i="25" s="1"/>
  <c r="AF737" i="25"/>
  <c r="AG737" i="25" s="1"/>
  <c r="AF738" i="25"/>
  <c r="AG738" i="25" s="1"/>
  <c r="AF739" i="25"/>
  <c r="AG739" i="25" s="1"/>
  <c r="AF740" i="25"/>
  <c r="AG740" i="25" s="1"/>
  <c r="AF741" i="25"/>
  <c r="AG741" i="25" s="1"/>
  <c r="AF742" i="25"/>
  <c r="AG742" i="25" s="1"/>
  <c r="AF743" i="25"/>
  <c r="AG743" i="25" s="1"/>
  <c r="AF744" i="25"/>
  <c r="AG744" i="25" s="1"/>
  <c r="AF745" i="25"/>
  <c r="AG745" i="25" s="1"/>
  <c r="AF746" i="25"/>
  <c r="AG746" i="25" s="1"/>
  <c r="AF747" i="25"/>
  <c r="AG747" i="25" s="1"/>
  <c r="AF748" i="25"/>
  <c r="AG748" i="25" s="1"/>
  <c r="AF749" i="25"/>
  <c r="AG749" i="25" s="1"/>
  <c r="AF750" i="25"/>
  <c r="AG750" i="25" s="1"/>
  <c r="AF751" i="25"/>
  <c r="AG751" i="25" s="1"/>
  <c r="AF752" i="25"/>
  <c r="AG752" i="25" s="1"/>
  <c r="AF753" i="25"/>
  <c r="AG753" i="25" s="1"/>
  <c r="AF754" i="25"/>
  <c r="AG754" i="25" s="1"/>
  <c r="AF755" i="25"/>
  <c r="AG755" i="25" s="1"/>
  <c r="AF756" i="25"/>
  <c r="AG756" i="25" s="1"/>
  <c r="AF757" i="25"/>
  <c r="AG757" i="25" s="1"/>
  <c r="AF758" i="25"/>
  <c r="AG758" i="25" s="1"/>
  <c r="AF759" i="25"/>
  <c r="AG759" i="25" s="1"/>
  <c r="AF760" i="25"/>
  <c r="AG760" i="25" s="1"/>
  <c r="AF761" i="25"/>
  <c r="AG761" i="25" s="1"/>
  <c r="AF762" i="25"/>
  <c r="AG762" i="25" s="1"/>
  <c r="AF763" i="25"/>
  <c r="AG763" i="25" s="1"/>
  <c r="AF764" i="25"/>
  <c r="AG764" i="25" s="1"/>
  <c r="AF765" i="25"/>
  <c r="AG765" i="25" s="1"/>
  <c r="AF766" i="25"/>
  <c r="AG766" i="25" s="1"/>
  <c r="AF767" i="25"/>
  <c r="AG767" i="25" s="1"/>
  <c r="AF768" i="25"/>
  <c r="AG768" i="25" s="1"/>
  <c r="AF769" i="25"/>
  <c r="AG769" i="25" s="1"/>
  <c r="AF770" i="25"/>
  <c r="AG770" i="25" s="1"/>
  <c r="AF771" i="25"/>
  <c r="AG771" i="25" s="1"/>
  <c r="AF772" i="25"/>
  <c r="AG772" i="25" s="1"/>
  <c r="AF773" i="25"/>
  <c r="AG773" i="25" s="1"/>
  <c r="AF774" i="25"/>
  <c r="AG774" i="25" s="1"/>
  <c r="AF775" i="25"/>
  <c r="AG775" i="25" s="1"/>
  <c r="AF776" i="25"/>
  <c r="AG776" i="25" s="1"/>
  <c r="AF777" i="25"/>
  <c r="AG777" i="25" s="1"/>
  <c r="AF778" i="25"/>
  <c r="AG778" i="25" s="1"/>
  <c r="AF779" i="25"/>
  <c r="AG779" i="25" s="1"/>
  <c r="AF780" i="25"/>
  <c r="AG780" i="25" s="1"/>
  <c r="AF781" i="25"/>
  <c r="AG781" i="25" s="1"/>
  <c r="AF782" i="25"/>
  <c r="AG782" i="25" s="1"/>
  <c r="AF783" i="25"/>
  <c r="AG783" i="25" s="1"/>
  <c r="AF784" i="25"/>
  <c r="AG784" i="25" s="1"/>
  <c r="AF785" i="25"/>
  <c r="AG785" i="25" s="1"/>
  <c r="AF786" i="25"/>
  <c r="AG786" i="25" s="1"/>
  <c r="AF787" i="25"/>
  <c r="AG787" i="25" s="1"/>
  <c r="AF788" i="25"/>
  <c r="AG788" i="25" s="1"/>
  <c r="AF789" i="25"/>
  <c r="AG789" i="25" s="1"/>
  <c r="AF790" i="25"/>
  <c r="AG790" i="25" s="1"/>
  <c r="AF791" i="25"/>
  <c r="AG791" i="25" s="1"/>
  <c r="AF792" i="25"/>
  <c r="AG792" i="25" s="1"/>
  <c r="AF793" i="25"/>
  <c r="AG793" i="25" s="1"/>
  <c r="AF794" i="25"/>
  <c r="AG794" i="25" s="1"/>
  <c r="AF795" i="25"/>
  <c r="AG795" i="25" s="1"/>
  <c r="AF796" i="25"/>
  <c r="AG796" i="25" s="1"/>
  <c r="AF797" i="25"/>
  <c r="AG797" i="25" s="1"/>
  <c r="AF798" i="25"/>
  <c r="AG798" i="25" s="1"/>
  <c r="AF799" i="25"/>
  <c r="AG799" i="25" s="1"/>
  <c r="AF800" i="25"/>
  <c r="AG800" i="25" s="1"/>
  <c r="AF801" i="25"/>
  <c r="AG801" i="25" s="1"/>
  <c r="AF802" i="25"/>
  <c r="AG802" i="25" s="1"/>
  <c r="AF803" i="25"/>
  <c r="AG803" i="25" s="1"/>
  <c r="AF804" i="25"/>
  <c r="AG804" i="25" s="1"/>
  <c r="AF805" i="25"/>
  <c r="AG805" i="25" s="1"/>
  <c r="AF806" i="25"/>
  <c r="AG806" i="25" s="1"/>
  <c r="AF807" i="25"/>
  <c r="AG807" i="25" s="1"/>
  <c r="AF808" i="25"/>
  <c r="AG808" i="25" s="1"/>
  <c r="AF809" i="25"/>
  <c r="AG809" i="25" s="1"/>
  <c r="AF810" i="25"/>
  <c r="AG810" i="25" s="1"/>
  <c r="AF811" i="25"/>
  <c r="AG811" i="25" s="1"/>
  <c r="AF812" i="25"/>
  <c r="AG812" i="25" s="1"/>
  <c r="AF813" i="25"/>
  <c r="AG813" i="25" s="1"/>
  <c r="AF814" i="25"/>
  <c r="AG814" i="25" s="1"/>
  <c r="AF815" i="25"/>
  <c r="AG815" i="25" s="1"/>
  <c r="AF816" i="25"/>
  <c r="AG816" i="25" s="1"/>
  <c r="AF817" i="25"/>
  <c r="AG817" i="25" s="1"/>
  <c r="AF818" i="25"/>
  <c r="AG818" i="25" s="1"/>
  <c r="AF819" i="25"/>
  <c r="AG819" i="25" s="1"/>
  <c r="AF820" i="25"/>
  <c r="AG820" i="25" s="1"/>
  <c r="AF821" i="25"/>
  <c r="AG821" i="25" s="1"/>
  <c r="AF822" i="25"/>
  <c r="AG822" i="25" s="1"/>
  <c r="AF823" i="25"/>
  <c r="AG823" i="25" s="1"/>
  <c r="AF824" i="25"/>
  <c r="AG824" i="25" s="1"/>
  <c r="AF825" i="25"/>
  <c r="AG825" i="25" s="1"/>
  <c r="AF826" i="25"/>
  <c r="AG826" i="25" s="1"/>
  <c r="AF827" i="25"/>
  <c r="AG827" i="25" s="1"/>
  <c r="AF828" i="25"/>
  <c r="AG828" i="25" s="1"/>
  <c r="AF829" i="25"/>
  <c r="AG829" i="25" s="1"/>
  <c r="AF830" i="25"/>
  <c r="AG830" i="25" s="1"/>
  <c r="AF831" i="25"/>
  <c r="AG831" i="25" s="1"/>
  <c r="AF832" i="25"/>
  <c r="AG832" i="25" s="1"/>
  <c r="AF833" i="25"/>
  <c r="AG833" i="25" s="1"/>
  <c r="AF834" i="25"/>
  <c r="AG834" i="25" s="1"/>
  <c r="AF835" i="25"/>
  <c r="AG835" i="25" s="1"/>
  <c r="AF836" i="25"/>
  <c r="AG836" i="25" s="1"/>
  <c r="AF837" i="25"/>
  <c r="AG837" i="25" s="1"/>
  <c r="AF838" i="25"/>
  <c r="AG838" i="25" s="1"/>
  <c r="AF839" i="25"/>
  <c r="AG839" i="25" s="1"/>
  <c r="AF840" i="25"/>
  <c r="AG840" i="25" s="1"/>
  <c r="AF841" i="25"/>
  <c r="AG841" i="25" s="1"/>
  <c r="AF842" i="25"/>
  <c r="AG842" i="25" s="1"/>
  <c r="AF843" i="25"/>
  <c r="AG843" i="25" s="1"/>
  <c r="AF844" i="25"/>
  <c r="AG844" i="25" s="1"/>
  <c r="AF845" i="25"/>
  <c r="AG845" i="25" s="1"/>
  <c r="AF846" i="25"/>
  <c r="AG846" i="25" s="1"/>
  <c r="AF847" i="25"/>
  <c r="AG847" i="25" s="1"/>
  <c r="AF848" i="25"/>
  <c r="AG848" i="25" s="1"/>
  <c r="AF849" i="25"/>
  <c r="AG849" i="25" s="1"/>
  <c r="AF850" i="25"/>
  <c r="AG850" i="25" s="1"/>
  <c r="AF851" i="25"/>
  <c r="AG851" i="25" s="1"/>
  <c r="AF852" i="25"/>
  <c r="AG852" i="25" s="1"/>
  <c r="AF853" i="25"/>
  <c r="AG853" i="25" s="1"/>
  <c r="AF854" i="25"/>
  <c r="AG854" i="25" s="1"/>
  <c r="AF855" i="25"/>
  <c r="AG855" i="25" s="1"/>
  <c r="AF856" i="25"/>
  <c r="AG856" i="25" s="1"/>
  <c r="G38" i="25" s="1"/>
  <c r="T38" i="25" s="1"/>
  <c r="AF857" i="25"/>
  <c r="AG857" i="25" s="1"/>
  <c r="AF858" i="25"/>
  <c r="AG858" i="25" s="1"/>
  <c r="AF859" i="25"/>
  <c r="AG859" i="25" s="1"/>
  <c r="AF860" i="25"/>
  <c r="AG860" i="25" s="1"/>
  <c r="AF861" i="25"/>
  <c r="AG861" i="25" s="1"/>
  <c r="AF862" i="25"/>
  <c r="AG862" i="25" s="1"/>
  <c r="AF863" i="25"/>
  <c r="AG863" i="25" s="1"/>
  <c r="AF864" i="25"/>
  <c r="AG864" i="25" s="1"/>
  <c r="AF865" i="25"/>
  <c r="AG865" i="25" s="1"/>
  <c r="AF866" i="25"/>
  <c r="AG866" i="25" s="1"/>
  <c r="AF867" i="25"/>
  <c r="AG867" i="25" s="1"/>
  <c r="AF868" i="25"/>
  <c r="AG868" i="25" s="1"/>
  <c r="AF869" i="25"/>
  <c r="AG869" i="25" s="1"/>
  <c r="AF870" i="25"/>
  <c r="AG870" i="25" s="1"/>
  <c r="AF871" i="25"/>
  <c r="AG871" i="25" s="1"/>
  <c r="AF872" i="25"/>
  <c r="AG872" i="25" s="1"/>
  <c r="AF873" i="25"/>
  <c r="AG873" i="25" s="1"/>
  <c r="AF874" i="25"/>
  <c r="AG874" i="25" s="1"/>
  <c r="AF875" i="25"/>
  <c r="AG875" i="25" s="1"/>
  <c r="AF876" i="25"/>
  <c r="AG876" i="25" s="1"/>
  <c r="AF877" i="25"/>
  <c r="AG877" i="25" s="1"/>
  <c r="AF878" i="25"/>
  <c r="AG878" i="25" s="1"/>
  <c r="AF879" i="25"/>
  <c r="AG879" i="25" s="1"/>
  <c r="AF880" i="25"/>
  <c r="AG880" i="25" s="1"/>
  <c r="AF881" i="25"/>
  <c r="AG881" i="25" s="1"/>
  <c r="AF882" i="25"/>
  <c r="AG882" i="25" s="1"/>
  <c r="AF883" i="25"/>
  <c r="AG883" i="25" s="1"/>
  <c r="AF884" i="25"/>
  <c r="AG884" i="25" s="1"/>
  <c r="AF885" i="25"/>
  <c r="AG885" i="25" s="1"/>
  <c r="AF886" i="25"/>
  <c r="AG886" i="25" s="1"/>
  <c r="AF887" i="25"/>
  <c r="AG887" i="25" s="1"/>
  <c r="AF888" i="25"/>
  <c r="AG888" i="25" s="1"/>
  <c r="AF889" i="25"/>
  <c r="AG889" i="25" s="1"/>
  <c r="AF890" i="25"/>
  <c r="AG890" i="25" s="1"/>
  <c r="AF891" i="25"/>
  <c r="AG891" i="25" s="1"/>
  <c r="AF892" i="25"/>
  <c r="AG892" i="25" s="1"/>
  <c r="AF893" i="25"/>
  <c r="AG893" i="25" s="1"/>
  <c r="AF894" i="25"/>
  <c r="AG894" i="25" s="1"/>
  <c r="AF895" i="25"/>
  <c r="AG895" i="25" s="1"/>
  <c r="AF896" i="25"/>
  <c r="AG896" i="25" s="1"/>
  <c r="AF897" i="25"/>
  <c r="AG897" i="25" s="1"/>
  <c r="AF898" i="25"/>
  <c r="AG898" i="25" s="1"/>
  <c r="AF899" i="25"/>
  <c r="AG899" i="25" s="1"/>
  <c r="AF900" i="25"/>
  <c r="AG900" i="25" s="1"/>
  <c r="AF901" i="25"/>
  <c r="AG901" i="25" s="1"/>
  <c r="AF902" i="25"/>
  <c r="AG902" i="25" s="1"/>
  <c r="AF903" i="25"/>
  <c r="AG903" i="25" s="1"/>
  <c r="AF904" i="25"/>
  <c r="AG904" i="25" s="1"/>
  <c r="AF905" i="25"/>
  <c r="AG905" i="25" s="1"/>
  <c r="AF906" i="25"/>
  <c r="AG906" i="25" s="1"/>
  <c r="AF907" i="25"/>
  <c r="AG907" i="25" s="1"/>
  <c r="AF908" i="25"/>
  <c r="AG908" i="25" s="1"/>
  <c r="AF909" i="25"/>
  <c r="AG909" i="25" s="1"/>
  <c r="AF910" i="25"/>
  <c r="AG910" i="25" s="1"/>
  <c r="AF911" i="25"/>
  <c r="AG911" i="25" s="1"/>
  <c r="AF912" i="25"/>
  <c r="AG912" i="25" s="1"/>
  <c r="AF913" i="25"/>
  <c r="AG913" i="25" s="1"/>
  <c r="AF914" i="25"/>
  <c r="AG914" i="25" s="1"/>
  <c r="AF915" i="25"/>
  <c r="AG915" i="25" s="1"/>
  <c r="AF916" i="25"/>
  <c r="AG916" i="25" s="1"/>
  <c r="AF917" i="25"/>
  <c r="AG917" i="25" s="1"/>
  <c r="AF918" i="25"/>
  <c r="AG918" i="25" s="1"/>
  <c r="AF919" i="25"/>
  <c r="AG919" i="25" s="1"/>
  <c r="AF920" i="25"/>
  <c r="AG920" i="25" s="1"/>
  <c r="AF921" i="25"/>
  <c r="AG921" i="25" s="1"/>
  <c r="AF922" i="25"/>
  <c r="AG922" i="25" s="1"/>
  <c r="AF923" i="25"/>
  <c r="AG923" i="25" s="1"/>
  <c r="AF924" i="25"/>
  <c r="AG924" i="25" s="1"/>
  <c r="AF925" i="25"/>
  <c r="AG925" i="25" s="1"/>
  <c r="AF926" i="25"/>
  <c r="AG926" i="25" s="1"/>
  <c r="AF927" i="25"/>
  <c r="AG927" i="25" s="1"/>
  <c r="G96" i="25" s="1"/>
  <c r="T96" i="25" s="1"/>
  <c r="AF928" i="25"/>
  <c r="AG928" i="25" s="1"/>
  <c r="AF929" i="25"/>
  <c r="AG929" i="25" s="1"/>
  <c r="AF930" i="25"/>
  <c r="AG930" i="25" s="1"/>
  <c r="AF931" i="25"/>
  <c r="AG931" i="25" s="1"/>
  <c r="AF932" i="25"/>
  <c r="AG932" i="25" s="1"/>
  <c r="G94" i="25" s="1"/>
  <c r="T94" i="25" s="1"/>
  <c r="AF933" i="25"/>
  <c r="AG933" i="25" s="1"/>
  <c r="AF934" i="25"/>
  <c r="AG934" i="25" s="1"/>
  <c r="AF935" i="25"/>
  <c r="AG935" i="25" s="1"/>
  <c r="AF937" i="25"/>
  <c r="AG937" i="25" s="1"/>
  <c r="AF938" i="25"/>
  <c r="AG938" i="25" s="1"/>
  <c r="AF939" i="25"/>
  <c r="AG939" i="25" s="1"/>
  <c r="AF940" i="25"/>
  <c r="AG940" i="25" s="1"/>
  <c r="AF941" i="25"/>
  <c r="AG941" i="25" s="1"/>
  <c r="AF942" i="25"/>
  <c r="AG942" i="25" s="1"/>
  <c r="AF943" i="25"/>
  <c r="AG943" i="25" s="1"/>
  <c r="AF944" i="25"/>
  <c r="AG944" i="25" s="1"/>
  <c r="AF945" i="25"/>
  <c r="AG945" i="25" s="1"/>
  <c r="AF946" i="25"/>
  <c r="AG946" i="25" s="1"/>
  <c r="AF947" i="25"/>
  <c r="AG947" i="25" s="1"/>
  <c r="AF948" i="25"/>
  <c r="AG948" i="25" s="1"/>
  <c r="AF949" i="25"/>
  <c r="AG949" i="25" s="1"/>
  <c r="AF950" i="25"/>
  <c r="AG950" i="25" s="1"/>
  <c r="AF951" i="25"/>
  <c r="AG951" i="25" s="1"/>
  <c r="AF952" i="25"/>
  <c r="AG952" i="25" s="1"/>
  <c r="AF953" i="25"/>
  <c r="AG953" i="25" s="1"/>
  <c r="AF954" i="25"/>
  <c r="AG954" i="25" s="1"/>
  <c r="AF955" i="25"/>
  <c r="AG955" i="25" s="1"/>
  <c r="AF956" i="25"/>
  <c r="AG956" i="25" s="1"/>
  <c r="AF957" i="25"/>
  <c r="AG957" i="25" s="1"/>
  <c r="AF958" i="25"/>
  <c r="AG958" i="25" s="1"/>
  <c r="AF959" i="25"/>
  <c r="AG959" i="25" s="1"/>
  <c r="AF960" i="25"/>
  <c r="AG960" i="25" s="1"/>
  <c r="AF961" i="25"/>
  <c r="AG961" i="25" s="1"/>
  <c r="AF962" i="25"/>
  <c r="AG962" i="25" s="1"/>
  <c r="AF963" i="25"/>
  <c r="AG963" i="25" s="1"/>
  <c r="AF964" i="25"/>
  <c r="AG964" i="25" s="1"/>
  <c r="AF965" i="25"/>
  <c r="AG965" i="25" s="1"/>
  <c r="AF966" i="25"/>
  <c r="AG966" i="25" s="1"/>
  <c r="AF967" i="25"/>
  <c r="AG967" i="25" s="1"/>
  <c r="AF968" i="25"/>
  <c r="AG968" i="25" s="1"/>
  <c r="AF969" i="25"/>
  <c r="AG969" i="25" s="1"/>
  <c r="AF970" i="25"/>
  <c r="AG970" i="25" s="1"/>
  <c r="AF971" i="25"/>
  <c r="AG971" i="25" s="1"/>
  <c r="AF972" i="25"/>
  <c r="AG972" i="25" s="1"/>
  <c r="AF973" i="25"/>
  <c r="AG973" i="25" s="1"/>
  <c r="AF974" i="25"/>
  <c r="AG974" i="25" s="1"/>
  <c r="AF975" i="25"/>
  <c r="AG975" i="25" s="1"/>
  <c r="AF976" i="25"/>
  <c r="AG976" i="25" s="1"/>
  <c r="AF977" i="25"/>
  <c r="AG977" i="25" s="1"/>
  <c r="AF978" i="25"/>
  <c r="AG978" i="25" s="1"/>
  <c r="AF979" i="25"/>
  <c r="AG979" i="25" s="1"/>
  <c r="AF980" i="25"/>
  <c r="AG980" i="25" s="1"/>
  <c r="AF981" i="25"/>
  <c r="AG981" i="25" s="1"/>
  <c r="AF982" i="25"/>
  <c r="AG982" i="25" s="1"/>
  <c r="AF983" i="25"/>
  <c r="AG983" i="25" s="1"/>
  <c r="AF984" i="25"/>
  <c r="AG984" i="25" s="1"/>
  <c r="AF985" i="25"/>
  <c r="AG985" i="25" s="1"/>
  <c r="AF986" i="25"/>
  <c r="AG986" i="25" s="1"/>
  <c r="AF987" i="25"/>
  <c r="AG987" i="25" s="1"/>
  <c r="AF988" i="25"/>
  <c r="AG988" i="25" s="1"/>
  <c r="AF989" i="25"/>
  <c r="AG989" i="25" s="1"/>
  <c r="AF990" i="25"/>
  <c r="AG990" i="25" s="1"/>
  <c r="AF991" i="25"/>
  <c r="AG991" i="25" s="1"/>
  <c r="AF992" i="25"/>
  <c r="AG992" i="25" s="1"/>
  <c r="AF993" i="25"/>
  <c r="AG993" i="25" s="1"/>
  <c r="AF994" i="25"/>
  <c r="AG994" i="25" s="1"/>
  <c r="AF995" i="25"/>
  <c r="AG995" i="25" s="1"/>
  <c r="AF996" i="25"/>
  <c r="AG996" i="25" s="1"/>
  <c r="AF997" i="25"/>
  <c r="AG997" i="25" s="1"/>
  <c r="AF998" i="25"/>
  <c r="AG998" i="25" s="1"/>
  <c r="AF999" i="25"/>
  <c r="AG999" i="25" s="1"/>
  <c r="AF1000" i="25"/>
  <c r="AG1000" i="25" s="1"/>
  <c r="AF1001" i="25"/>
  <c r="AG1001" i="25" s="1"/>
  <c r="AF1002" i="25"/>
  <c r="AG1002" i="25" s="1"/>
  <c r="AF1003" i="25"/>
  <c r="AG1003" i="25" s="1"/>
  <c r="AF1004" i="25"/>
  <c r="AG1004" i="25" s="1"/>
  <c r="AF1005" i="25"/>
  <c r="AG1005" i="25" s="1"/>
  <c r="AF1006" i="25"/>
  <c r="AG1006" i="25" s="1"/>
  <c r="AF1007" i="25"/>
  <c r="AG1007" i="25" s="1"/>
  <c r="AF1008" i="25"/>
  <c r="AG1008" i="25" s="1"/>
  <c r="AF1009" i="25"/>
  <c r="AG1009" i="25" s="1"/>
  <c r="AF1010" i="25"/>
  <c r="AG1010" i="25" s="1"/>
  <c r="AF1011" i="25"/>
  <c r="AG1011" i="25" s="1"/>
  <c r="AF1012" i="25"/>
  <c r="AG1012" i="25" s="1"/>
  <c r="AF1013" i="25"/>
  <c r="AG1013" i="25" s="1"/>
  <c r="AF1014" i="25"/>
  <c r="AG1014" i="25" s="1"/>
  <c r="AF1015" i="25"/>
  <c r="AG1015" i="25" s="1"/>
  <c r="AF1016" i="25"/>
  <c r="AG1016" i="25" s="1"/>
  <c r="AF1017" i="25"/>
  <c r="AG1017" i="25" s="1"/>
  <c r="AF1018" i="25"/>
  <c r="AG1018" i="25" s="1"/>
  <c r="AF1019" i="25"/>
  <c r="AG1019" i="25" s="1"/>
  <c r="AF1020" i="25"/>
  <c r="AG1020" i="25" s="1"/>
  <c r="AF1021" i="25"/>
  <c r="AG1021" i="25" s="1"/>
  <c r="AF1022" i="25"/>
  <c r="AG1022" i="25" s="1"/>
  <c r="AF1023" i="25"/>
  <c r="AG1023" i="25" s="1"/>
  <c r="AF1024" i="25"/>
  <c r="AG1024" i="25" s="1"/>
  <c r="AF1025" i="25"/>
  <c r="AG1025" i="25" s="1"/>
  <c r="AF1026" i="25"/>
  <c r="AG1026" i="25" s="1"/>
  <c r="AF1027" i="25"/>
  <c r="AG1027" i="25" s="1"/>
  <c r="AF1028" i="25"/>
  <c r="AG1028" i="25" s="1"/>
  <c r="AF1029" i="25"/>
  <c r="AG1029" i="25" s="1"/>
  <c r="AF1030" i="25"/>
  <c r="AG1030" i="25" s="1"/>
  <c r="AF1031" i="25"/>
  <c r="AG1031" i="25" s="1"/>
  <c r="AF1032" i="25"/>
  <c r="AG1032" i="25" s="1"/>
  <c r="AF1033" i="25"/>
  <c r="AG1033" i="25" s="1"/>
  <c r="AF1034" i="25"/>
  <c r="AG1034" i="25" s="1"/>
  <c r="AF1035" i="25"/>
  <c r="AG1035" i="25" s="1"/>
  <c r="AF1036" i="25"/>
  <c r="AG1036" i="25" s="1"/>
  <c r="AF1037" i="25"/>
  <c r="AG1037" i="25" s="1"/>
  <c r="AF1038" i="25"/>
  <c r="AG1038" i="25" s="1"/>
  <c r="AF1039" i="25"/>
  <c r="AG1039" i="25" s="1"/>
  <c r="AF1040" i="25"/>
  <c r="AG1040" i="25" s="1"/>
  <c r="AF1041" i="25"/>
  <c r="AG1041" i="25" s="1"/>
  <c r="AF1042" i="25"/>
  <c r="AG1042" i="25" s="1"/>
  <c r="AF1043" i="25"/>
  <c r="AG1043" i="25" s="1"/>
  <c r="AF1044" i="25"/>
  <c r="AG1044" i="25" s="1"/>
  <c r="AF1045" i="25"/>
  <c r="AG1045" i="25" s="1"/>
  <c r="AF1046" i="25"/>
  <c r="AG1046" i="25" s="1"/>
  <c r="AF1047" i="25"/>
  <c r="AG1047" i="25" s="1"/>
  <c r="AF1048" i="25"/>
  <c r="AG1048" i="25" s="1"/>
  <c r="AF1049" i="25"/>
  <c r="AG1049" i="25" s="1"/>
  <c r="AF1050" i="25"/>
  <c r="AG1050" i="25" s="1"/>
  <c r="AF1051" i="25"/>
  <c r="AG1051" i="25" s="1"/>
  <c r="AF1052" i="25"/>
  <c r="AG1052" i="25" s="1"/>
  <c r="AF1053" i="25"/>
  <c r="AG1053" i="25" s="1"/>
  <c r="AF1054" i="25"/>
  <c r="AG1054" i="25" s="1"/>
  <c r="AF1055" i="25"/>
  <c r="AG1055" i="25" s="1"/>
  <c r="AF1056" i="25"/>
  <c r="AG1056" i="25" s="1"/>
  <c r="AF1057" i="25"/>
  <c r="AG1057" i="25" s="1"/>
  <c r="AF1058" i="25"/>
  <c r="AG1058" i="25" s="1"/>
  <c r="AF1059" i="25"/>
  <c r="AG1059" i="25" s="1"/>
  <c r="AF1060" i="25"/>
  <c r="AG1060" i="25" s="1"/>
  <c r="AF1061" i="25"/>
  <c r="AG1061" i="25" s="1"/>
  <c r="AF1062" i="25"/>
  <c r="AG1062" i="25" s="1"/>
  <c r="AF1063" i="25"/>
  <c r="AG1063" i="25" s="1"/>
  <c r="AF1064" i="25"/>
  <c r="AG1064" i="25" s="1"/>
  <c r="AF1065" i="25"/>
  <c r="AG1065" i="25" s="1"/>
  <c r="AF1066" i="25"/>
  <c r="AG1066" i="25" s="1"/>
  <c r="AF1067" i="25"/>
  <c r="AG1067" i="25" s="1"/>
  <c r="AF1068" i="25"/>
  <c r="AG1068" i="25" s="1"/>
  <c r="AF1069" i="25"/>
  <c r="AG1069" i="25" s="1"/>
  <c r="AF1070" i="25"/>
  <c r="AG1070" i="25" s="1"/>
  <c r="AF1071" i="25"/>
  <c r="AG1071" i="25" s="1"/>
  <c r="AF1072" i="25"/>
  <c r="AG1072" i="25" s="1"/>
  <c r="AF1073" i="25"/>
  <c r="AG1073" i="25" s="1"/>
  <c r="AF1074" i="25"/>
  <c r="AG1074" i="25" s="1"/>
  <c r="AF1075" i="25"/>
  <c r="AG1075" i="25" s="1"/>
  <c r="AF1076" i="25"/>
  <c r="AG1076" i="25" s="1"/>
  <c r="AF1077" i="25"/>
  <c r="AG1077" i="25" s="1"/>
  <c r="AF1078" i="25"/>
  <c r="AG1078" i="25" s="1"/>
  <c r="AF1079" i="25"/>
  <c r="AG1079" i="25" s="1"/>
  <c r="AF1080" i="25"/>
  <c r="AG1080" i="25" s="1"/>
  <c r="AF1081" i="25"/>
  <c r="AG1081" i="25" s="1"/>
  <c r="AF1082" i="25"/>
  <c r="AG1082" i="25" s="1"/>
  <c r="AF1083" i="25"/>
  <c r="AG1083" i="25" s="1"/>
  <c r="AF1084" i="25"/>
  <c r="AG1084" i="25" s="1"/>
  <c r="AF1085" i="25"/>
  <c r="AG1085" i="25" s="1"/>
  <c r="AF7" i="25"/>
  <c r="AG7" i="25" s="1"/>
  <c r="G42" i="25" l="1"/>
  <c r="T42" i="25" s="1"/>
  <c r="G40" i="25"/>
  <c r="T40" i="25" s="1"/>
  <c r="G26" i="25"/>
  <c r="T26" i="25" s="1"/>
  <c r="G14" i="25"/>
  <c r="T14" i="25" s="1"/>
  <c r="G9" i="25"/>
  <c r="T9" i="25" s="1"/>
  <c r="G27" i="25"/>
  <c r="T27" i="25" s="1"/>
  <c r="G21" i="25"/>
  <c r="T21" i="25" s="1"/>
  <c r="G11" i="25"/>
  <c r="T11" i="25" s="1"/>
  <c r="G15" i="25"/>
  <c r="T15" i="25" s="1"/>
  <c r="G93" i="25"/>
  <c r="T93" i="25" s="1"/>
  <c r="G87" i="25"/>
  <c r="T87" i="25" s="1"/>
  <c r="G81" i="25"/>
  <c r="T81" i="25" s="1"/>
  <c r="G75" i="25"/>
  <c r="T75" i="25" s="1"/>
  <c r="G69" i="25"/>
  <c r="T69" i="25" s="1"/>
  <c r="G57" i="25"/>
  <c r="T57" i="25" s="1"/>
  <c r="G51" i="25"/>
  <c r="T51" i="25" s="1"/>
  <c r="G45" i="25"/>
  <c r="T45" i="25" s="1"/>
  <c r="G39" i="25"/>
  <c r="T39" i="25" s="1"/>
  <c r="G32" i="25"/>
  <c r="T32" i="25" s="1"/>
  <c r="G20" i="25"/>
  <c r="T20" i="25" s="1"/>
  <c r="G8" i="25"/>
  <c r="T8" i="25" s="1"/>
  <c r="G92" i="25"/>
  <c r="T92" i="25" s="1"/>
  <c r="G86" i="25"/>
  <c r="T86" i="25" s="1"/>
  <c r="G80" i="25"/>
  <c r="T80" i="25" s="1"/>
  <c r="G74" i="25"/>
  <c r="T74" i="25" s="1"/>
  <c r="G68" i="25"/>
  <c r="T68" i="25" s="1"/>
  <c r="G62" i="25"/>
  <c r="T62" i="25" s="1"/>
  <c r="G56" i="25"/>
  <c r="T56" i="25" s="1"/>
  <c r="G50" i="25"/>
  <c r="T50" i="25" s="1"/>
  <c r="G44" i="25"/>
  <c r="T44" i="25" s="1"/>
  <c r="G31" i="25"/>
  <c r="T31" i="25" s="1"/>
  <c r="G25" i="25"/>
  <c r="T25" i="25" s="1"/>
  <c r="G19" i="25"/>
  <c r="T19" i="25" s="1"/>
  <c r="G13" i="25"/>
  <c r="T13" i="25" s="1"/>
  <c r="G7" i="25"/>
  <c r="T7" i="25" s="1"/>
  <c r="G97" i="25"/>
  <c r="T97" i="25" s="1"/>
  <c r="G91" i="25"/>
  <c r="T91" i="25" s="1"/>
  <c r="G85" i="25"/>
  <c r="T85" i="25" s="1"/>
  <c r="G73" i="25"/>
  <c r="T73" i="25" s="1"/>
  <c r="G55" i="25"/>
  <c r="T55" i="25" s="1"/>
  <c r="G49" i="25"/>
  <c r="T49" i="25" s="1"/>
  <c r="G43" i="25"/>
  <c r="T43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37" i="25"/>
  <c r="T37" i="25" s="1"/>
  <c r="G3" i="25"/>
  <c r="T3" i="25" s="1"/>
  <c r="G89" i="25"/>
  <c r="T89" i="25" s="1"/>
  <c r="G83" i="25"/>
  <c r="T83" i="25" s="1"/>
  <c r="G77" i="25"/>
  <c r="T77" i="25" s="1"/>
  <c r="G71" i="25"/>
  <c r="T71" i="25" s="1"/>
  <c r="G65" i="25"/>
  <c r="T65" i="25" s="1"/>
  <c r="G59" i="25"/>
  <c r="T59" i="25" s="1"/>
  <c r="G53" i="25"/>
  <c r="T53" i="25" s="1"/>
  <c r="G41" i="25"/>
  <c r="T41" i="25" s="1"/>
  <c r="G36" i="25"/>
  <c r="T36" i="25" s="1"/>
  <c r="T34" i="25"/>
  <c r="G28" i="25"/>
  <c r="T28" i="25" s="1"/>
  <c r="G22" i="25"/>
  <c r="T22" i="25" s="1"/>
  <c r="G16" i="25"/>
  <c r="T16" i="25" s="1"/>
  <c r="G4" i="25"/>
  <c r="T4" i="25" s="1"/>
  <c r="G76" i="25"/>
  <c r="T76" i="25" s="1"/>
  <c r="G33" i="25"/>
  <c r="T33" i="25" s="1"/>
  <c r="V75" i="14"/>
  <c r="T75" i="14"/>
  <c r="R75" i="14"/>
  <c r="P75" i="14"/>
  <c r="O75" i="14"/>
  <c r="L75" i="14"/>
  <c r="K75" i="14"/>
  <c r="G75" i="14"/>
  <c r="V74" i="14"/>
  <c r="T74" i="14"/>
  <c r="R74" i="14"/>
  <c r="P74" i="14"/>
  <c r="O74" i="14"/>
  <c r="L74" i="14"/>
  <c r="K74" i="14"/>
  <c r="G74" i="14"/>
  <c r="V73" i="14"/>
  <c r="T73" i="14"/>
  <c r="R73" i="14"/>
  <c r="P73" i="14"/>
  <c r="O73" i="14"/>
  <c r="L73" i="14"/>
  <c r="K73" i="14"/>
  <c r="G73" i="14"/>
  <c r="V72" i="14"/>
  <c r="T72" i="14"/>
  <c r="R72" i="14"/>
  <c r="P72" i="14"/>
  <c r="O72" i="14"/>
  <c r="L72" i="14"/>
  <c r="K72" i="14"/>
  <c r="G72" i="14"/>
  <c r="V71" i="14"/>
  <c r="T71" i="14"/>
  <c r="R71" i="14"/>
  <c r="P71" i="14"/>
  <c r="O71" i="14"/>
  <c r="L71" i="14"/>
  <c r="K71" i="14"/>
  <c r="G71" i="14"/>
  <c r="V69" i="14"/>
  <c r="T69" i="14"/>
  <c r="R69" i="14"/>
  <c r="P69" i="14"/>
  <c r="O69" i="14"/>
  <c r="L69" i="14"/>
  <c r="K69" i="14"/>
  <c r="G69" i="14"/>
  <c r="V68" i="14"/>
  <c r="T68" i="14"/>
  <c r="R68" i="14"/>
  <c r="P68" i="14"/>
  <c r="O68" i="14"/>
  <c r="L68" i="14"/>
  <c r="K68" i="14"/>
  <c r="G68" i="14"/>
  <c r="V67" i="14"/>
  <c r="T67" i="14"/>
  <c r="R67" i="14"/>
  <c r="P67" i="14"/>
  <c r="O67" i="14"/>
  <c r="L67" i="14"/>
  <c r="K67" i="14"/>
  <c r="G67" i="14"/>
  <c r="V66" i="14"/>
  <c r="T66" i="14"/>
  <c r="R66" i="14"/>
  <c r="P66" i="14"/>
  <c r="O66" i="14"/>
  <c r="L66" i="14"/>
  <c r="K66" i="14"/>
  <c r="G66" i="14"/>
  <c r="V65" i="14"/>
  <c r="T65" i="14"/>
  <c r="R65" i="14"/>
  <c r="P65" i="14"/>
  <c r="O65" i="14"/>
  <c r="L65" i="14"/>
  <c r="K65" i="14"/>
  <c r="G65" i="14"/>
  <c r="V64" i="14"/>
  <c r="T64" i="14"/>
  <c r="R64" i="14"/>
  <c r="P64" i="14"/>
  <c r="O64" i="14"/>
  <c r="L64" i="14"/>
  <c r="K64" i="14"/>
  <c r="G64" i="14"/>
  <c r="V59" i="14"/>
  <c r="T59" i="14"/>
  <c r="R59" i="14"/>
  <c r="P59" i="14"/>
  <c r="O59" i="14"/>
  <c r="L59" i="14"/>
  <c r="K59" i="14"/>
  <c r="G59" i="14"/>
  <c r="V54" i="14"/>
  <c r="T54" i="14"/>
  <c r="R54" i="14"/>
  <c r="P54" i="14"/>
  <c r="O54" i="14"/>
  <c r="L54" i="14"/>
  <c r="K54" i="14"/>
  <c r="G54" i="14"/>
  <c r="V53" i="14"/>
  <c r="T53" i="14"/>
  <c r="R53" i="14"/>
  <c r="P53" i="14"/>
  <c r="O53" i="14"/>
  <c r="L53" i="14"/>
  <c r="K53" i="14"/>
  <c r="G53" i="14"/>
  <c r="V52" i="14"/>
  <c r="T52" i="14"/>
  <c r="R52" i="14"/>
  <c r="P52" i="14"/>
  <c r="O52" i="14"/>
  <c r="L52" i="14"/>
  <c r="K52" i="14"/>
  <c r="G52" i="14"/>
  <c r="V51" i="14"/>
  <c r="T51" i="14"/>
  <c r="R51" i="14"/>
  <c r="P51" i="14"/>
  <c r="O51" i="14"/>
  <c r="L51" i="14"/>
  <c r="K51" i="14"/>
  <c r="G51" i="14"/>
  <c r="V50" i="14"/>
  <c r="T50" i="14"/>
  <c r="R50" i="14"/>
  <c r="P50" i="14"/>
  <c r="O50" i="14"/>
  <c r="O49" i="14" s="1"/>
  <c r="L50" i="14"/>
  <c r="K50" i="14"/>
  <c r="G50" i="14"/>
  <c r="V48" i="14"/>
  <c r="T48" i="14"/>
  <c r="R48" i="14"/>
  <c r="P48" i="14"/>
  <c r="O48" i="14"/>
  <c r="L48" i="14"/>
  <c r="K48" i="14"/>
  <c r="G48" i="14"/>
  <c r="V47" i="14"/>
  <c r="T47" i="14"/>
  <c r="R47" i="14"/>
  <c r="P47" i="14"/>
  <c r="O47" i="14"/>
  <c r="L47" i="14"/>
  <c r="K47" i="14"/>
  <c r="G47" i="14"/>
  <c r="V46" i="14"/>
  <c r="T46" i="14"/>
  <c r="R46" i="14"/>
  <c r="P46" i="14"/>
  <c r="O46" i="14"/>
  <c r="L46" i="14"/>
  <c r="K46" i="14"/>
  <c r="G46" i="14"/>
  <c r="V45" i="14"/>
  <c r="T45" i="14"/>
  <c r="R45" i="14"/>
  <c r="P45" i="14"/>
  <c r="O45" i="14"/>
  <c r="L45" i="14"/>
  <c r="K45" i="14"/>
  <c r="G45" i="14"/>
  <c r="V44" i="14"/>
  <c r="T44" i="14"/>
  <c r="R44" i="14"/>
  <c r="P44" i="14"/>
  <c r="O44" i="14"/>
  <c r="L44" i="14"/>
  <c r="K44" i="14"/>
  <c r="G44" i="14"/>
  <c r="V43" i="14"/>
  <c r="T43" i="14"/>
  <c r="R43" i="14"/>
  <c r="P43" i="14"/>
  <c r="O43" i="14"/>
  <c r="L43" i="14"/>
  <c r="K43" i="14"/>
  <c r="G43" i="14"/>
  <c r="V42" i="14"/>
  <c r="T42" i="14"/>
  <c r="R42" i="14"/>
  <c r="P42" i="14"/>
  <c r="O42" i="14"/>
  <c r="L42" i="14"/>
  <c r="K42" i="14"/>
  <c r="G42" i="14"/>
  <c r="V37" i="14"/>
  <c r="T37" i="14"/>
  <c r="R37" i="14"/>
  <c r="P37" i="14"/>
  <c r="O37" i="14"/>
  <c r="L37" i="14"/>
  <c r="K37" i="14"/>
  <c r="G37" i="14"/>
  <c r="V36" i="14"/>
  <c r="T36" i="14"/>
  <c r="R36" i="14"/>
  <c r="P36" i="14"/>
  <c r="O36" i="14"/>
  <c r="L36" i="14"/>
  <c r="K36" i="14"/>
  <c r="G36" i="14"/>
  <c r="V35" i="14"/>
  <c r="T35" i="14"/>
  <c r="R35" i="14"/>
  <c r="P35" i="14"/>
  <c r="O35" i="14"/>
  <c r="L35" i="14"/>
  <c r="K35" i="14"/>
  <c r="G35" i="14"/>
  <c r="V34" i="14"/>
  <c r="T34" i="14"/>
  <c r="R34" i="14"/>
  <c r="P34" i="14"/>
  <c r="O34" i="14"/>
  <c r="L34" i="14"/>
  <c r="K34" i="14"/>
  <c r="G34" i="14"/>
  <c r="V33" i="14"/>
  <c r="T33" i="14"/>
  <c r="R33" i="14"/>
  <c r="P33" i="14"/>
  <c r="O33" i="14"/>
  <c r="L33" i="14"/>
  <c r="K33" i="14"/>
  <c r="G33" i="14"/>
  <c r="V31" i="14"/>
  <c r="T31" i="14"/>
  <c r="R31" i="14"/>
  <c r="P31" i="14"/>
  <c r="O31" i="14"/>
  <c r="L31" i="14"/>
  <c r="K31" i="14"/>
  <c r="G31" i="14"/>
  <c r="V30" i="14"/>
  <c r="T30" i="14"/>
  <c r="R30" i="14"/>
  <c r="P30" i="14"/>
  <c r="O30" i="14"/>
  <c r="L30" i="14"/>
  <c r="K30" i="14"/>
  <c r="G30" i="14"/>
  <c r="V25" i="14"/>
  <c r="T25" i="14"/>
  <c r="R25" i="14"/>
  <c r="P25" i="14"/>
  <c r="O25" i="14"/>
  <c r="L25" i="14"/>
  <c r="K25" i="14"/>
  <c r="G25" i="14"/>
  <c r="V21" i="14"/>
  <c r="T21" i="14"/>
  <c r="R21" i="14"/>
  <c r="P21" i="14"/>
  <c r="O21" i="14"/>
  <c r="L21" i="14"/>
  <c r="K21" i="14"/>
  <c r="G21" i="14"/>
  <c r="V17" i="14"/>
  <c r="T17" i="14"/>
  <c r="R17" i="14"/>
  <c r="P17" i="14"/>
  <c r="O17" i="14"/>
  <c r="L17" i="14"/>
  <c r="K17" i="14"/>
  <c r="G17" i="14"/>
  <c r="V12" i="14"/>
  <c r="T12" i="14"/>
  <c r="R12" i="14"/>
  <c r="P12" i="14"/>
  <c r="O12" i="14"/>
  <c r="L12" i="14"/>
  <c r="K12" i="14"/>
  <c r="G12" i="14"/>
  <c r="V6" i="14"/>
  <c r="T6" i="14"/>
  <c r="R6" i="14"/>
  <c r="P6" i="14"/>
  <c r="O6" i="14"/>
  <c r="L6" i="14"/>
  <c r="K6" i="14"/>
  <c r="G6" i="14"/>
  <c r="P3" i="17"/>
  <c r="L4" i="4"/>
  <c r="M4" i="4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L75" i="4"/>
  <c r="M75" i="4"/>
  <c r="L76" i="4"/>
  <c r="M76" i="4"/>
  <c r="L77" i="4"/>
  <c r="M77" i="4"/>
  <c r="L78" i="4"/>
  <c r="M78" i="4"/>
  <c r="L79" i="4"/>
  <c r="M79" i="4"/>
  <c r="L80" i="4"/>
  <c r="M80" i="4"/>
  <c r="L81" i="4"/>
  <c r="M81" i="4"/>
  <c r="L82" i="4"/>
  <c r="M82" i="4"/>
  <c r="L83" i="4"/>
  <c r="M83" i="4"/>
  <c r="L84" i="4"/>
  <c r="M84" i="4"/>
  <c r="L85" i="4"/>
  <c r="M85" i="4"/>
  <c r="L86" i="4"/>
  <c r="M86" i="4"/>
  <c r="L87" i="4"/>
  <c r="M87" i="4"/>
  <c r="L88" i="4"/>
  <c r="M88" i="4"/>
  <c r="L89" i="4"/>
  <c r="M89" i="4"/>
  <c r="L90" i="4"/>
  <c r="M90" i="4"/>
  <c r="L91" i="4"/>
  <c r="M91" i="4"/>
  <c r="L92" i="4"/>
  <c r="M92" i="4"/>
  <c r="L93" i="4"/>
  <c r="M93" i="4"/>
  <c r="L94" i="4"/>
  <c r="M94" i="4"/>
  <c r="L95" i="4"/>
  <c r="M95" i="4"/>
  <c r="L96" i="4"/>
  <c r="M96" i="4"/>
  <c r="L97" i="4"/>
  <c r="M97" i="4"/>
  <c r="L98" i="4"/>
  <c r="M98" i="4"/>
  <c r="L99" i="4"/>
  <c r="M99" i="4"/>
  <c r="L100" i="4"/>
  <c r="M100" i="4"/>
  <c r="L101" i="4"/>
  <c r="M101" i="4"/>
  <c r="L102" i="4"/>
  <c r="M102" i="4"/>
  <c r="L103" i="4"/>
  <c r="M103" i="4"/>
  <c r="L104" i="4"/>
  <c r="M104" i="4"/>
  <c r="L105" i="4"/>
  <c r="M105" i="4"/>
  <c r="L106" i="4"/>
  <c r="M106" i="4"/>
  <c r="L107" i="4"/>
  <c r="M107" i="4"/>
  <c r="L108" i="4"/>
  <c r="M108" i="4"/>
  <c r="L109" i="4"/>
  <c r="M109" i="4"/>
  <c r="L110" i="4"/>
  <c r="M110" i="4"/>
  <c r="L111" i="4"/>
  <c r="M111" i="4"/>
  <c r="L112" i="4"/>
  <c r="M112" i="4"/>
  <c r="L113" i="4"/>
  <c r="M113" i="4"/>
  <c r="L114" i="4"/>
  <c r="M114" i="4"/>
  <c r="L115" i="4"/>
  <c r="M115" i="4"/>
  <c r="L116" i="4"/>
  <c r="M116" i="4"/>
  <c r="L117" i="4"/>
  <c r="M117" i="4"/>
  <c r="L118" i="4"/>
  <c r="M118" i="4"/>
  <c r="L119" i="4"/>
  <c r="M119" i="4"/>
  <c r="L120" i="4"/>
  <c r="M120" i="4"/>
  <c r="L121" i="4"/>
  <c r="M121" i="4"/>
  <c r="L122" i="4"/>
  <c r="M122" i="4"/>
  <c r="L123" i="4"/>
  <c r="M123" i="4"/>
  <c r="L124" i="4"/>
  <c r="M124" i="4"/>
  <c r="L125" i="4"/>
  <c r="M125" i="4"/>
  <c r="L126" i="4"/>
  <c r="M126" i="4"/>
  <c r="L127" i="4"/>
  <c r="M127" i="4"/>
  <c r="L128" i="4"/>
  <c r="M128" i="4"/>
  <c r="L129" i="4"/>
  <c r="M129" i="4"/>
  <c r="L130" i="4"/>
  <c r="M130" i="4"/>
  <c r="L131" i="4"/>
  <c r="M131" i="4"/>
  <c r="L132" i="4"/>
  <c r="M132" i="4"/>
  <c r="L133" i="4"/>
  <c r="M133" i="4"/>
  <c r="L134" i="4"/>
  <c r="M134" i="4"/>
  <c r="L135" i="4"/>
  <c r="M135" i="4"/>
  <c r="L136" i="4"/>
  <c r="M136" i="4"/>
  <c r="L137" i="4"/>
  <c r="M137" i="4"/>
  <c r="L138" i="4"/>
  <c r="M138" i="4"/>
  <c r="L139" i="4"/>
  <c r="M139" i="4"/>
  <c r="L140" i="4"/>
  <c r="M140" i="4"/>
  <c r="L141" i="4"/>
  <c r="M141" i="4"/>
  <c r="L142" i="4"/>
  <c r="M142" i="4"/>
  <c r="L143" i="4"/>
  <c r="M143" i="4"/>
  <c r="L144" i="4"/>
  <c r="M144" i="4"/>
  <c r="L145" i="4"/>
  <c r="M145" i="4"/>
  <c r="L146" i="4"/>
  <c r="M146" i="4"/>
  <c r="L147" i="4"/>
  <c r="M147" i="4"/>
  <c r="L148" i="4"/>
  <c r="M148" i="4"/>
  <c r="L149" i="4"/>
  <c r="M149" i="4"/>
  <c r="L150" i="4"/>
  <c r="M150" i="4"/>
  <c r="L151" i="4"/>
  <c r="M151" i="4"/>
  <c r="L152" i="4"/>
  <c r="M152" i="4"/>
  <c r="L153" i="4"/>
  <c r="M153" i="4"/>
  <c r="L154" i="4"/>
  <c r="M154" i="4"/>
  <c r="L155" i="4"/>
  <c r="M155" i="4"/>
  <c r="L156" i="4"/>
  <c r="M156" i="4"/>
  <c r="L157" i="4"/>
  <c r="M157" i="4"/>
  <c r="L158" i="4"/>
  <c r="M158" i="4"/>
  <c r="L159" i="4"/>
  <c r="M159" i="4"/>
  <c r="L160" i="4"/>
  <c r="M160" i="4"/>
  <c r="L161" i="4"/>
  <c r="M161" i="4"/>
  <c r="L162" i="4"/>
  <c r="M162" i="4"/>
  <c r="L163" i="4"/>
  <c r="M163" i="4"/>
  <c r="L164" i="4"/>
  <c r="M164" i="4"/>
  <c r="L165" i="4"/>
  <c r="M165" i="4"/>
  <c r="L166" i="4"/>
  <c r="M166" i="4"/>
  <c r="L167" i="4"/>
  <c r="M167" i="4"/>
  <c r="L168" i="4"/>
  <c r="M168" i="4"/>
  <c r="L169" i="4"/>
  <c r="M169" i="4"/>
  <c r="L170" i="4"/>
  <c r="M170" i="4"/>
  <c r="L171" i="4"/>
  <c r="M171" i="4"/>
  <c r="L172" i="4"/>
  <c r="M172" i="4"/>
  <c r="L173" i="4"/>
  <c r="M173" i="4"/>
  <c r="L174" i="4"/>
  <c r="M174" i="4"/>
  <c r="L175" i="4"/>
  <c r="M175" i="4"/>
  <c r="L176" i="4"/>
  <c r="M176" i="4"/>
  <c r="L177" i="4"/>
  <c r="M177" i="4"/>
  <c r="L178" i="4"/>
  <c r="M178" i="4"/>
  <c r="L179" i="4"/>
  <c r="M179" i="4"/>
  <c r="L180" i="4"/>
  <c r="M180" i="4"/>
  <c r="L181" i="4"/>
  <c r="M181" i="4"/>
  <c r="L182" i="4"/>
  <c r="M182" i="4"/>
  <c r="L183" i="4"/>
  <c r="M183" i="4"/>
  <c r="L184" i="4"/>
  <c r="M184" i="4"/>
  <c r="L185" i="4"/>
  <c r="M185" i="4"/>
  <c r="L186" i="4"/>
  <c r="M186" i="4"/>
  <c r="L187" i="4"/>
  <c r="M187" i="4"/>
  <c r="L188" i="4"/>
  <c r="M188" i="4"/>
  <c r="L189" i="4"/>
  <c r="M189" i="4"/>
  <c r="L190" i="4"/>
  <c r="M190" i="4"/>
  <c r="L191" i="4"/>
  <c r="M191" i="4"/>
  <c r="L192" i="4"/>
  <c r="M192" i="4"/>
  <c r="L193" i="4"/>
  <c r="M193" i="4"/>
  <c r="L194" i="4"/>
  <c r="M194" i="4"/>
  <c r="L195" i="4"/>
  <c r="M195" i="4"/>
  <c r="L196" i="4"/>
  <c r="M196" i="4"/>
  <c r="L197" i="4"/>
  <c r="M197" i="4"/>
  <c r="L198" i="4"/>
  <c r="M198" i="4"/>
  <c r="L199" i="4"/>
  <c r="M199" i="4"/>
  <c r="L200" i="4"/>
  <c r="M200" i="4"/>
  <c r="L201" i="4"/>
  <c r="M201" i="4"/>
  <c r="L202" i="4"/>
  <c r="M202" i="4"/>
  <c r="L203" i="4"/>
  <c r="M203" i="4"/>
  <c r="L204" i="4"/>
  <c r="M204" i="4"/>
  <c r="L205" i="4"/>
  <c r="M205" i="4"/>
  <c r="L206" i="4"/>
  <c r="M206" i="4"/>
  <c r="L207" i="4"/>
  <c r="M207" i="4"/>
  <c r="L208" i="4"/>
  <c r="M208" i="4"/>
  <c r="L209" i="4"/>
  <c r="M209" i="4"/>
  <c r="L210" i="4"/>
  <c r="M210" i="4"/>
  <c r="L211" i="4"/>
  <c r="M211" i="4"/>
  <c r="L212" i="4"/>
  <c r="M212" i="4"/>
  <c r="L213" i="4"/>
  <c r="M213" i="4"/>
  <c r="L214" i="4"/>
  <c r="M214" i="4"/>
  <c r="L215" i="4"/>
  <c r="M215" i="4"/>
  <c r="L216" i="4"/>
  <c r="M216" i="4"/>
  <c r="L217" i="4"/>
  <c r="M217" i="4"/>
  <c r="L218" i="4"/>
  <c r="M218" i="4"/>
  <c r="L219" i="4"/>
  <c r="M219" i="4"/>
  <c r="L220" i="4"/>
  <c r="M220" i="4"/>
  <c r="L221" i="4"/>
  <c r="M221" i="4"/>
  <c r="L222" i="4"/>
  <c r="M222" i="4"/>
  <c r="L223" i="4"/>
  <c r="M223" i="4"/>
  <c r="L224" i="4"/>
  <c r="M224" i="4"/>
  <c r="L225" i="4"/>
  <c r="M225" i="4"/>
  <c r="L226" i="4"/>
  <c r="M226" i="4"/>
  <c r="L227" i="4"/>
  <c r="M227" i="4"/>
  <c r="L228" i="4"/>
  <c r="M228" i="4"/>
  <c r="L229" i="4"/>
  <c r="M229" i="4"/>
  <c r="L230" i="4"/>
  <c r="M230" i="4"/>
  <c r="L231" i="4"/>
  <c r="M231" i="4"/>
  <c r="L232" i="4"/>
  <c r="M232" i="4"/>
  <c r="L233" i="4"/>
  <c r="M233" i="4"/>
  <c r="L234" i="4"/>
  <c r="M234" i="4"/>
  <c r="L235" i="4"/>
  <c r="M235" i="4"/>
  <c r="L236" i="4"/>
  <c r="M236" i="4"/>
  <c r="L237" i="4"/>
  <c r="M237" i="4"/>
  <c r="L238" i="4"/>
  <c r="M238" i="4"/>
  <c r="L239" i="4"/>
  <c r="M239" i="4"/>
  <c r="L240" i="4"/>
  <c r="M240" i="4"/>
  <c r="L241" i="4"/>
  <c r="M241" i="4"/>
  <c r="L242" i="4"/>
  <c r="M242" i="4"/>
  <c r="L243" i="4"/>
  <c r="M243" i="4"/>
  <c r="L244" i="4"/>
  <c r="M244" i="4"/>
  <c r="L245" i="4"/>
  <c r="M245" i="4"/>
  <c r="L246" i="4"/>
  <c r="M246" i="4"/>
  <c r="L247" i="4"/>
  <c r="M247" i="4"/>
  <c r="L248" i="4"/>
  <c r="M248" i="4"/>
  <c r="L249" i="4"/>
  <c r="M249" i="4"/>
  <c r="L250" i="4"/>
  <c r="M250" i="4"/>
  <c r="L251" i="4"/>
  <c r="M251" i="4"/>
  <c r="L252" i="4"/>
  <c r="M252" i="4"/>
  <c r="L253" i="4"/>
  <c r="M253" i="4"/>
  <c r="L254" i="4"/>
  <c r="M254" i="4"/>
  <c r="L255" i="4"/>
  <c r="M255" i="4"/>
  <c r="L256" i="4"/>
  <c r="M256" i="4"/>
  <c r="L257" i="4"/>
  <c r="M257" i="4"/>
  <c r="L258" i="4"/>
  <c r="M258" i="4"/>
  <c r="L259" i="4"/>
  <c r="M259" i="4"/>
  <c r="L260" i="4"/>
  <c r="M260" i="4"/>
  <c r="L261" i="4"/>
  <c r="M261" i="4"/>
  <c r="L262" i="4"/>
  <c r="M262" i="4"/>
  <c r="L263" i="4"/>
  <c r="M263" i="4"/>
  <c r="L264" i="4"/>
  <c r="M264" i="4"/>
  <c r="L265" i="4"/>
  <c r="M265" i="4"/>
  <c r="L266" i="4"/>
  <c r="M266" i="4"/>
  <c r="L267" i="4"/>
  <c r="M267" i="4"/>
  <c r="L268" i="4"/>
  <c r="M268" i="4"/>
  <c r="L269" i="4"/>
  <c r="M269" i="4"/>
  <c r="L270" i="4"/>
  <c r="M270" i="4"/>
  <c r="L271" i="4"/>
  <c r="M271" i="4"/>
  <c r="L272" i="4"/>
  <c r="M272" i="4"/>
  <c r="L273" i="4"/>
  <c r="M273" i="4"/>
  <c r="L274" i="4"/>
  <c r="M274" i="4"/>
  <c r="L275" i="4"/>
  <c r="M275" i="4"/>
  <c r="L276" i="4"/>
  <c r="M276" i="4"/>
  <c r="L277" i="4"/>
  <c r="M277" i="4"/>
  <c r="L278" i="4"/>
  <c r="M278" i="4"/>
  <c r="L279" i="4"/>
  <c r="M279" i="4"/>
  <c r="L280" i="4"/>
  <c r="M280" i="4"/>
  <c r="L281" i="4"/>
  <c r="M281" i="4"/>
  <c r="L282" i="4"/>
  <c r="M282" i="4"/>
  <c r="L283" i="4"/>
  <c r="M283" i="4"/>
  <c r="L284" i="4"/>
  <c r="M284" i="4"/>
  <c r="L285" i="4"/>
  <c r="M285" i="4"/>
  <c r="L286" i="4"/>
  <c r="M286" i="4"/>
  <c r="L287" i="4"/>
  <c r="M287" i="4"/>
  <c r="L288" i="4"/>
  <c r="M288" i="4"/>
  <c r="L289" i="4"/>
  <c r="M289" i="4"/>
  <c r="L290" i="4"/>
  <c r="M290" i="4"/>
  <c r="L291" i="4"/>
  <c r="M291" i="4"/>
  <c r="L292" i="4"/>
  <c r="M292" i="4"/>
  <c r="L293" i="4"/>
  <c r="M293" i="4"/>
  <c r="L294" i="4"/>
  <c r="M294" i="4"/>
  <c r="L295" i="4"/>
  <c r="M295" i="4"/>
  <c r="L296" i="4"/>
  <c r="M296" i="4"/>
  <c r="L297" i="4"/>
  <c r="M297" i="4"/>
  <c r="L298" i="4"/>
  <c r="M298" i="4"/>
  <c r="L299" i="4"/>
  <c r="M299" i="4"/>
  <c r="L300" i="4"/>
  <c r="M300" i="4"/>
  <c r="L301" i="4"/>
  <c r="M301" i="4"/>
  <c r="L302" i="4"/>
  <c r="M302" i="4"/>
  <c r="L303" i="4"/>
  <c r="M303" i="4"/>
  <c r="L304" i="4"/>
  <c r="M304" i="4"/>
  <c r="L305" i="4"/>
  <c r="M305" i="4"/>
  <c r="L306" i="4"/>
  <c r="M306" i="4"/>
  <c r="L307" i="4"/>
  <c r="M307" i="4"/>
  <c r="L308" i="4"/>
  <c r="M308" i="4"/>
  <c r="L309" i="4"/>
  <c r="M309" i="4"/>
  <c r="L310" i="4"/>
  <c r="M310" i="4"/>
  <c r="L311" i="4"/>
  <c r="M311" i="4"/>
  <c r="L312" i="4"/>
  <c r="M312" i="4"/>
  <c r="L313" i="4"/>
  <c r="M313" i="4"/>
  <c r="L314" i="4"/>
  <c r="M314" i="4"/>
  <c r="L315" i="4"/>
  <c r="M315" i="4"/>
  <c r="L316" i="4"/>
  <c r="M316" i="4"/>
  <c r="L317" i="4"/>
  <c r="M317" i="4"/>
  <c r="L318" i="4"/>
  <c r="M318" i="4"/>
  <c r="L319" i="4"/>
  <c r="M319" i="4"/>
  <c r="L320" i="4"/>
  <c r="M320" i="4"/>
  <c r="L321" i="4"/>
  <c r="M321" i="4"/>
  <c r="L322" i="4"/>
  <c r="M322" i="4"/>
  <c r="L323" i="4"/>
  <c r="M323" i="4"/>
  <c r="L324" i="4"/>
  <c r="M324" i="4"/>
  <c r="L325" i="4"/>
  <c r="M325" i="4"/>
  <c r="L326" i="4"/>
  <c r="M326" i="4"/>
  <c r="L327" i="4"/>
  <c r="M327" i="4"/>
  <c r="L328" i="4"/>
  <c r="M328" i="4"/>
  <c r="L329" i="4"/>
  <c r="M329" i="4"/>
  <c r="L330" i="4"/>
  <c r="M330" i="4"/>
  <c r="L331" i="4"/>
  <c r="M331" i="4"/>
  <c r="L332" i="4"/>
  <c r="M332" i="4"/>
  <c r="L333" i="4"/>
  <c r="M333" i="4"/>
  <c r="L334" i="4"/>
  <c r="M334" i="4"/>
  <c r="L335" i="4"/>
  <c r="M335" i="4"/>
  <c r="L336" i="4"/>
  <c r="M336" i="4"/>
  <c r="L337" i="4"/>
  <c r="M337" i="4"/>
  <c r="L338" i="4"/>
  <c r="M338" i="4"/>
  <c r="L339" i="4"/>
  <c r="M339" i="4"/>
  <c r="L340" i="4"/>
  <c r="M340" i="4"/>
  <c r="L341" i="4"/>
  <c r="M341" i="4"/>
  <c r="L342" i="4"/>
  <c r="M342" i="4"/>
  <c r="L343" i="4"/>
  <c r="M343" i="4"/>
  <c r="L344" i="4"/>
  <c r="M344" i="4"/>
  <c r="L345" i="4"/>
  <c r="M345" i="4"/>
  <c r="L346" i="4"/>
  <c r="M346" i="4"/>
  <c r="L347" i="4"/>
  <c r="M347" i="4"/>
  <c r="L348" i="4"/>
  <c r="M348" i="4"/>
  <c r="L349" i="4"/>
  <c r="M349" i="4"/>
  <c r="L350" i="4"/>
  <c r="M350" i="4"/>
  <c r="L351" i="4"/>
  <c r="M351" i="4"/>
  <c r="L352" i="4"/>
  <c r="M352" i="4"/>
  <c r="L353" i="4"/>
  <c r="M353" i="4"/>
  <c r="L354" i="4"/>
  <c r="M354" i="4"/>
  <c r="L355" i="4"/>
  <c r="M355" i="4"/>
  <c r="L356" i="4"/>
  <c r="M356" i="4"/>
  <c r="L357" i="4"/>
  <c r="M357" i="4"/>
  <c r="L358" i="4"/>
  <c r="M358" i="4"/>
  <c r="L359" i="4"/>
  <c r="M359" i="4"/>
  <c r="L360" i="4"/>
  <c r="M360" i="4"/>
  <c r="L361" i="4"/>
  <c r="M361" i="4"/>
  <c r="L362" i="4"/>
  <c r="M362" i="4"/>
  <c r="L363" i="4"/>
  <c r="M363" i="4"/>
  <c r="L364" i="4"/>
  <c r="M364" i="4"/>
  <c r="L365" i="4"/>
  <c r="M365" i="4"/>
  <c r="L366" i="4"/>
  <c r="M366" i="4"/>
  <c r="L367" i="4"/>
  <c r="M367" i="4"/>
  <c r="L368" i="4"/>
  <c r="M368" i="4"/>
  <c r="L369" i="4"/>
  <c r="M369" i="4"/>
  <c r="L370" i="4"/>
  <c r="M370" i="4"/>
  <c r="L371" i="4"/>
  <c r="M371" i="4"/>
  <c r="L372" i="4"/>
  <c r="M372" i="4"/>
  <c r="L373" i="4"/>
  <c r="M373" i="4"/>
  <c r="L374" i="4"/>
  <c r="M374" i="4"/>
  <c r="L375" i="4"/>
  <c r="M375" i="4"/>
  <c r="L376" i="4"/>
  <c r="M376" i="4"/>
  <c r="L377" i="4"/>
  <c r="M377" i="4"/>
  <c r="L378" i="4"/>
  <c r="M378" i="4"/>
  <c r="L379" i="4"/>
  <c r="M379" i="4"/>
  <c r="L380" i="4"/>
  <c r="M380" i="4"/>
  <c r="L381" i="4"/>
  <c r="M381" i="4"/>
  <c r="L382" i="4"/>
  <c r="M382" i="4"/>
  <c r="L383" i="4"/>
  <c r="M383" i="4"/>
  <c r="L384" i="4"/>
  <c r="M384" i="4"/>
  <c r="L385" i="4"/>
  <c r="M385" i="4"/>
  <c r="L386" i="4"/>
  <c r="M386" i="4"/>
  <c r="L387" i="4"/>
  <c r="M387" i="4"/>
  <c r="L388" i="4"/>
  <c r="M388" i="4"/>
  <c r="L389" i="4"/>
  <c r="M389" i="4"/>
  <c r="L390" i="4"/>
  <c r="M390" i="4"/>
  <c r="L391" i="4"/>
  <c r="M391" i="4"/>
  <c r="L392" i="4"/>
  <c r="M392" i="4"/>
  <c r="L393" i="4"/>
  <c r="M393" i="4"/>
  <c r="L394" i="4"/>
  <c r="M394" i="4"/>
  <c r="L395" i="4"/>
  <c r="M395" i="4"/>
  <c r="L396" i="4"/>
  <c r="M396" i="4"/>
  <c r="L397" i="4"/>
  <c r="M397" i="4"/>
  <c r="L398" i="4"/>
  <c r="M398" i="4"/>
  <c r="L399" i="4"/>
  <c r="M399" i="4"/>
  <c r="L400" i="4"/>
  <c r="M400" i="4"/>
  <c r="L401" i="4"/>
  <c r="M401" i="4"/>
  <c r="L402" i="4"/>
  <c r="M402" i="4"/>
  <c r="L403" i="4"/>
  <c r="M403" i="4"/>
  <c r="L404" i="4"/>
  <c r="M404" i="4"/>
  <c r="L405" i="4"/>
  <c r="M405" i="4"/>
  <c r="L406" i="4"/>
  <c r="M406" i="4"/>
  <c r="L407" i="4"/>
  <c r="M407" i="4"/>
  <c r="L408" i="4"/>
  <c r="M408" i="4"/>
  <c r="L409" i="4"/>
  <c r="M409" i="4"/>
  <c r="L410" i="4"/>
  <c r="M410" i="4"/>
  <c r="L411" i="4"/>
  <c r="M411" i="4"/>
  <c r="L412" i="4"/>
  <c r="M412" i="4"/>
  <c r="L413" i="4"/>
  <c r="M413" i="4"/>
  <c r="L414" i="4"/>
  <c r="M414" i="4"/>
  <c r="L415" i="4"/>
  <c r="M415" i="4"/>
  <c r="L416" i="4"/>
  <c r="M416" i="4"/>
  <c r="L417" i="4"/>
  <c r="M417" i="4"/>
  <c r="L418" i="4"/>
  <c r="M418" i="4"/>
  <c r="L419" i="4"/>
  <c r="M419" i="4"/>
  <c r="L420" i="4"/>
  <c r="M420" i="4"/>
  <c r="L421" i="4"/>
  <c r="M421" i="4"/>
  <c r="L422" i="4"/>
  <c r="M422" i="4"/>
  <c r="L423" i="4"/>
  <c r="M423" i="4"/>
  <c r="L424" i="4"/>
  <c r="M424" i="4"/>
  <c r="L425" i="4"/>
  <c r="M425" i="4"/>
  <c r="L426" i="4"/>
  <c r="M426" i="4"/>
  <c r="L427" i="4"/>
  <c r="M427" i="4"/>
  <c r="L428" i="4"/>
  <c r="M428" i="4"/>
  <c r="L429" i="4"/>
  <c r="M429" i="4"/>
  <c r="L430" i="4"/>
  <c r="M430" i="4"/>
  <c r="L431" i="4"/>
  <c r="M431" i="4"/>
  <c r="L432" i="4"/>
  <c r="M432" i="4"/>
  <c r="L433" i="4"/>
  <c r="M433" i="4"/>
  <c r="L434" i="4"/>
  <c r="M434" i="4"/>
  <c r="L435" i="4"/>
  <c r="M435" i="4"/>
  <c r="L436" i="4"/>
  <c r="M436" i="4"/>
  <c r="L437" i="4"/>
  <c r="M437" i="4"/>
  <c r="L438" i="4"/>
  <c r="M438" i="4"/>
  <c r="L439" i="4"/>
  <c r="M439" i="4"/>
  <c r="L440" i="4"/>
  <c r="M440" i="4"/>
  <c r="L441" i="4"/>
  <c r="M441" i="4"/>
  <c r="L442" i="4"/>
  <c r="M442" i="4"/>
  <c r="L443" i="4"/>
  <c r="M443" i="4"/>
  <c r="L444" i="4"/>
  <c r="M444" i="4"/>
  <c r="L445" i="4"/>
  <c r="M445" i="4"/>
  <c r="L446" i="4"/>
  <c r="M446" i="4"/>
  <c r="L447" i="4"/>
  <c r="M447" i="4"/>
  <c r="L448" i="4"/>
  <c r="M448" i="4"/>
  <c r="L449" i="4"/>
  <c r="M449" i="4"/>
  <c r="L450" i="4"/>
  <c r="M450" i="4"/>
  <c r="L451" i="4"/>
  <c r="M451" i="4"/>
  <c r="L452" i="4"/>
  <c r="M452" i="4"/>
  <c r="L453" i="4"/>
  <c r="M453" i="4"/>
  <c r="L454" i="4"/>
  <c r="M454" i="4"/>
  <c r="L455" i="4"/>
  <c r="M455" i="4"/>
  <c r="L456" i="4"/>
  <c r="M456" i="4"/>
  <c r="L457" i="4"/>
  <c r="M457" i="4"/>
  <c r="L458" i="4"/>
  <c r="M458" i="4"/>
  <c r="L459" i="4"/>
  <c r="M459" i="4"/>
  <c r="L460" i="4"/>
  <c r="M460" i="4"/>
  <c r="L461" i="4"/>
  <c r="M461" i="4"/>
  <c r="L462" i="4"/>
  <c r="M462" i="4"/>
  <c r="L463" i="4"/>
  <c r="M463" i="4"/>
  <c r="L464" i="4"/>
  <c r="M464" i="4"/>
  <c r="L465" i="4"/>
  <c r="M465" i="4"/>
  <c r="L466" i="4"/>
  <c r="M466" i="4"/>
  <c r="L467" i="4"/>
  <c r="M467" i="4"/>
  <c r="L468" i="4"/>
  <c r="M468" i="4"/>
  <c r="L469" i="4"/>
  <c r="M469" i="4"/>
  <c r="L470" i="4"/>
  <c r="M470" i="4"/>
  <c r="L471" i="4"/>
  <c r="M471" i="4"/>
  <c r="L472" i="4"/>
  <c r="M472" i="4"/>
  <c r="L473" i="4"/>
  <c r="M473" i="4"/>
  <c r="L474" i="4"/>
  <c r="M474" i="4"/>
  <c r="L475" i="4"/>
  <c r="M475" i="4"/>
  <c r="L476" i="4"/>
  <c r="M476" i="4"/>
  <c r="L477" i="4"/>
  <c r="M477" i="4"/>
  <c r="L478" i="4"/>
  <c r="M478" i="4"/>
  <c r="L479" i="4"/>
  <c r="M479" i="4"/>
  <c r="L480" i="4"/>
  <c r="M480" i="4"/>
  <c r="L481" i="4"/>
  <c r="M481" i="4"/>
  <c r="L482" i="4"/>
  <c r="M482" i="4"/>
  <c r="L483" i="4"/>
  <c r="M483" i="4"/>
  <c r="L484" i="4"/>
  <c r="M484" i="4"/>
  <c r="L485" i="4"/>
  <c r="M485" i="4"/>
  <c r="L486" i="4"/>
  <c r="M486" i="4"/>
  <c r="L487" i="4"/>
  <c r="M487" i="4"/>
  <c r="L488" i="4"/>
  <c r="M488" i="4"/>
  <c r="L489" i="4"/>
  <c r="M489" i="4"/>
  <c r="L490" i="4"/>
  <c r="M490" i="4"/>
  <c r="L491" i="4"/>
  <c r="M491" i="4"/>
  <c r="L492" i="4"/>
  <c r="M492" i="4"/>
  <c r="L493" i="4"/>
  <c r="M493" i="4"/>
  <c r="L494" i="4"/>
  <c r="M494" i="4"/>
  <c r="L495" i="4"/>
  <c r="M495" i="4"/>
  <c r="L496" i="4"/>
  <c r="M496" i="4"/>
  <c r="L497" i="4"/>
  <c r="M497" i="4"/>
  <c r="L498" i="4"/>
  <c r="M498" i="4"/>
  <c r="L499" i="4"/>
  <c r="M499" i="4"/>
  <c r="L500" i="4"/>
  <c r="M500" i="4"/>
  <c r="L501" i="4"/>
  <c r="M501" i="4"/>
  <c r="M3" i="4"/>
  <c r="L3" i="4"/>
  <c r="G70" i="14" l="1"/>
  <c r="P58" i="14"/>
  <c r="P41" i="14"/>
  <c r="G58" i="14"/>
  <c r="P70" i="14"/>
  <c r="P32" i="14"/>
  <c r="G32" i="14"/>
  <c r="K70" i="14"/>
  <c r="K41" i="14"/>
  <c r="P5" i="14"/>
  <c r="G41" i="14"/>
  <c r="O70" i="14"/>
  <c r="R32" i="14"/>
  <c r="K49" i="14"/>
  <c r="R49" i="14"/>
  <c r="R58" i="14"/>
  <c r="L41" i="14"/>
  <c r="K32" i="14"/>
  <c r="P49" i="14"/>
  <c r="K58" i="14"/>
  <c r="R70" i="14"/>
  <c r="R41" i="14"/>
  <c r="O5" i="14"/>
  <c r="K5" i="14"/>
  <c r="L58" i="14"/>
  <c r="L32" i="14"/>
  <c r="V41" i="14"/>
  <c r="V58" i="14"/>
  <c r="T32" i="14"/>
  <c r="R5" i="14"/>
  <c r="O32" i="14"/>
  <c r="L49" i="14"/>
  <c r="L70" i="14"/>
  <c r="T49" i="14"/>
  <c r="O58" i="14"/>
  <c r="T5" i="14"/>
  <c r="V49" i="14"/>
  <c r="V5" i="14"/>
  <c r="O41" i="14"/>
  <c r="G5" i="14"/>
  <c r="V32" i="14"/>
  <c r="T70" i="14"/>
  <c r="T58" i="14"/>
  <c r="V70" i="14"/>
  <c r="L5" i="14"/>
  <c r="T41" i="14"/>
  <c r="G49" i="14"/>
  <c r="C31" i="4"/>
  <c r="I15" i="17"/>
  <c r="R15" i="17" s="1"/>
  <c r="I16" i="17"/>
  <c r="R16" i="17" s="1"/>
  <c r="I17" i="17"/>
  <c r="R17" i="17" s="1"/>
  <c r="I18" i="17"/>
  <c r="R18" i="17" s="1"/>
  <c r="I19" i="17"/>
  <c r="R19" i="17" s="1"/>
  <c r="I20" i="17"/>
  <c r="R20" i="17" s="1"/>
  <c r="I21" i="17"/>
  <c r="R21" i="17" s="1"/>
  <c r="I22" i="17"/>
  <c r="R22" i="17" s="1"/>
  <c r="I23" i="17"/>
  <c r="R23" i="17" s="1"/>
  <c r="I24" i="17"/>
  <c r="R24" i="17" s="1"/>
  <c r="I25" i="17"/>
  <c r="R25" i="17" s="1"/>
  <c r="I26" i="17"/>
  <c r="R26" i="17" s="1"/>
  <c r="I27" i="17"/>
  <c r="R27" i="17" s="1"/>
  <c r="I28" i="17"/>
  <c r="R28" i="17" s="1"/>
  <c r="I29" i="17"/>
  <c r="R29" i="17" s="1"/>
  <c r="I30" i="17"/>
  <c r="R30" i="17" s="1"/>
  <c r="I31" i="17"/>
  <c r="R31" i="17" s="1"/>
  <c r="I32" i="17"/>
  <c r="R32" i="17" s="1"/>
  <c r="I33" i="17"/>
  <c r="R33" i="17" s="1"/>
  <c r="I34" i="17"/>
  <c r="R34" i="17" s="1"/>
  <c r="I35" i="17"/>
  <c r="R35" i="17" s="1"/>
  <c r="I36" i="17"/>
  <c r="R36" i="17" s="1"/>
  <c r="I37" i="17"/>
  <c r="R37" i="17" s="1"/>
  <c r="I38" i="17"/>
  <c r="R38" i="17" s="1"/>
  <c r="I39" i="17"/>
  <c r="R39" i="17" s="1"/>
  <c r="I40" i="17"/>
  <c r="R40" i="17" s="1"/>
  <c r="I41" i="17"/>
  <c r="R41" i="17" s="1"/>
  <c r="I42" i="17"/>
  <c r="R42" i="17" s="1"/>
  <c r="I43" i="17"/>
  <c r="R43" i="17" s="1"/>
  <c r="I44" i="17"/>
  <c r="R44" i="17" s="1"/>
  <c r="I45" i="17"/>
  <c r="R45" i="17" s="1"/>
  <c r="I46" i="17"/>
  <c r="R46" i="17" s="1"/>
  <c r="I47" i="17"/>
  <c r="R47" i="17" s="1"/>
  <c r="I48" i="17"/>
  <c r="R48" i="17" s="1"/>
  <c r="I49" i="17"/>
  <c r="R49" i="17" s="1"/>
  <c r="I50" i="17"/>
  <c r="R50" i="17" s="1"/>
  <c r="I51" i="17"/>
  <c r="R51" i="17" s="1"/>
  <c r="I52" i="17"/>
  <c r="R52" i="17" s="1"/>
  <c r="I53" i="17"/>
  <c r="R53" i="17" s="1"/>
  <c r="I54" i="17"/>
  <c r="R54" i="17" s="1"/>
  <c r="I55" i="17"/>
  <c r="R55" i="17" s="1"/>
  <c r="I56" i="17"/>
  <c r="R56" i="17" s="1"/>
  <c r="I57" i="17"/>
  <c r="R57" i="17" s="1"/>
  <c r="I58" i="17"/>
  <c r="R58" i="17" s="1"/>
  <c r="I59" i="17"/>
  <c r="R59" i="17" s="1"/>
  <c r="I60" i="17"/>
  <c r="R60" i="17" s="1"/>
  <c r="I61" i="17"/>
  <c r="R61" i="17" s="1"/>
  <c r="I62" i="17"/>
  <c r="R62" i="17" s="1"/>
  <c r="I63" i="17"/>
  <c r="R63" i="17" s="1"/>
  <c r="I64" i="17"/>
  <c r="R64" i="17" s="1"/>
  <c r="I65" i="17"/>
  <c r="R65" i="17" s="1"/>
  <c r="I66" i="17"/>
  <c r="R66" i="17" s="1"/>
  <c r="I67" i="17"/>
  <c r="R67" i="17" s="1"/>
  <c r="I68" i="17"/>
  <c r="R68" i="17" s="1"/>
  <c r="I69" i="17"/>
  <c r="R69" i="17" s="1"/>
  <c r="I70" i="17"/>
  <c r="R70" i="17" s="1"/>
  <c r="I71" i="17"/>
  <c r="R71" i="17" s="1"/>
  <c r="I72" i="17"/>
  <c r="R72" i="17" s="1"/>
  <c r="I73" i="17"/>
  <c r="R73" i="17" s="1"/>
  <c r="I74" i="17"/>
  <c r="R74" i="17" s="1"/>
  <c r="I75" i="17"/>
  <c r="R75" i="17" s="1"/>
  <c r="I76" i="17"/>
  <c r="R76" i="17" s="1"/>
  <c r="I77" i="17"/>
  <c r="R77" i="17" s="1"/>
  <c r="I78" i="17"/>
  <c r="R78" i="17" s="1"/>
  <c r="I79" i="17"/>
  <c r="R79" i="17" s="1"/>
  <c r="I80" i="17"/>
  <c r="R80" i="17" s="1"/>
  <c r="I81" i="17"/>
  <c r="R81" i="17" s="1"/>
  <c r="I82" i="17"/>
  <c r="R82" i="17" s="1"/>
  <c r="I83" i="17"/>
  <c r="R83" i="17" s="1"/>
  <c r="I84" i="17"/>
  <c r="R84" i="17" s="1"/>
  <c r="I85" i="17"/>
  <c r="R85" i="17" s="1"/>
  <c r="I86" i="17"/>
  <c r="R86" i="17" s="1"/>
  <c r="I87" i="17"/>
  <c r="R87" i="17" s="1"/>
  <c r="I88" i="17"/>
  <c r="R88" i="17" s="1"/>
  <c r="I89" i="17"/>
  <c r="R89" i="17" s="1"/>
  <c r="I90" i="17"/>
  <c r="R90" i="17" s="1"/>
  <c r="I91" i="17"/>
  <c r="R91" i="17" s="1"/>
  <c r="I92" i="17"/>
  <c r="R92" i="17" s="1"/>
  <c r="I93" i="17"/>
  <c r="R93" i="17" s="1"/>
  <c r="I94" i="17"/>
  <c r="R94" i="17" s="1"/>
  <c r="I95" i="17"/>
  <c r="R95" i="17" s="1"/>
  <c r="R96" i="17"/>
  <c r="I97" i="17"/>
  <c r="R97" i="17" s="1"/>
  <c r="I98" i="17"/>
  <c r="R98" i="17" s="1"/>
  <c r="I99" i="17"/>
  <c r="R99" i="17" s="1"/>
  <c r="I100" i="17"/>
  <c r="R100" i="17" s="1"/>
  <c r="I101" i="17"/>
  <c r="R101" i="17" s="1"/>
  <c r="I102" i="17"/>
  <c r="R102" i="17" s="1"/>
  <c r="I103" i="17"/>
  <c r="R103" i="17" s="1"/>
  <c r="I104" i="17"/>
  <c r="R104" i="17" s="1"/>
  <c r="I105" i="17"/>
  <c r="R105" i="17" s="1"/>
  <c r="I106" i="17"/>
  <c r="R106" i="17" s="1"/>
  <c r="I107" i="17"/>
  <c r="R107" i="17" s="1"/>
  <c r="I108" i="17"/>
  <c r="R108" i="17" s="1"/>
  <c r="I109" i="17"/>
  <c r="R109" i="17" s="1"/>
  <c r="I110" i="17"/>
  <c r="R110" i="17" s="1"/>
  <c r="I111" i="17"/>
  <c r="R111" i="17" s="1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" i="17"/>
  <c r="R4" i="17" s="1"/>
  <c r="I5" i="17"/>
  <c r="R5" i="17" s="1"/>
  <c r="I6" i="17"/>
  <c r="R6" i="17" s="1"/>
  <c r="I7" i="17"/>
  <c r="R7" i="17" s="1"/>
  <c r="I8" i="17"/>
  <c r="R8" i="17" s="1"/>
  <c r="I9" i="17"/>
  <c r="R9" i="17" s="1"/>
  <c r="I10" i="17"/>
  <c r="R10" i="17" s="1"/>
  <c r="I11" i="17"/>
  <c r="R11" i="17" s="1"/>
  <c r="I12" i="17"/>
  <c r="R12" i="17" s="1"/>
  <c r="I13" i="17"/>
  <c r="R13" i="17" s="1"/>
  <c r="I14" i="17"/>
  <c r="R14" i="17" s="1"/>
  <c r="I3" i="17"/>
  <c r="R3" i="17" s="1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3" i="17"/>
  <c r="D3" i="17"/>
  <c r="E70" i="33" l="1"/>
  <c r="E71" i="33"/>
  <c r="C46" i="33"/>
  <c r="C53" i="33"/>
  <c r="D49" i="33"/>
  <c r="D63" i="33"/>
  <c r="D29" i="33"/>
  <c r="C73" i="33"/>
  <c r="C39" i="33"/>
  <c r="E46" i="33"/>
  <c r="C31" i="33"/>
  <c r="C58" i="33"/>
  <c r="D7" i="33"/>
  <c r="D34" i="33"/>
  <c r="D62" i="33"/>
  <c r="E10" i="33"/>
  <c r="E37" i="33"/>
  <c r="E65" i="33"/>
  <c r="E60" i="33"/>
  <c r="C12" i="33"/>
  <c r="C40" i="33"/>
  <c r="C68" i="33"/>
  <c r="D16" i="33"/>
  <c r="D43" i="33"/>
  <c r="D71" i="33"/>
  <c r="E19" i="33"/>
  <c r="E47" i="33"/>
  <c r="E74" i="33"/>
  <c r="C20" i="33"/>
  <c r="C48" i="33"/>
  <c r="C76" i="33"/>
  <c r="D24" i="33"/>
  <c r="D51" i="33"/>
  <c r="D79" i="33"/>
  <c r="E27" i="33"/>
  <c r="E55" i="33"/>
  <c r="E82" i="33"/>
  <c r="C29" i="33"/>
  <c r="C56" i="33"/>
  <c r="C83" i="33"/>
  <c r="D32" i="33"/>
  <c r="D60" i="33"/>
  <c r="E8" i="33"/>
  <c r="E35" i="33"/>
  <c r="E63" i="33"/>
  <c r="C16" i="33"/>
  <c r="C43" i="33"/>
  <c r="C71" i="33"/>
  <c r="D19" i="33"/>
  <c r="D47" i="33"/>
  <c r="D74" i="33"/>
  <c r="E23" i="33"/>
  <c r="E50" i="33"/>
  <c r="E78" i="33"/>
  <c r="D8" i="33"/>
  <c r="D14" i="33"/>
  <c r="C18" i="33"/>
  <c r="E25" i="33"/>
  <c r="D70" i="33"/>
  <c r="D35" i="33"/>
  <c r="C80" i="33"/>
  <c r="C10" i="33"/>
  <c r="C37" i="33"/>
  <c r="C65" i="33"/>
  <c r="D13" i="33"/>
  <c r="D41" i="33"/>
  <c r="D69" i="33"/>
  <c r="E17" i="33"/>
  <c r="E44" i="33"/>
  <c r="E72" i="33"/>
  <c r="E67" i="33"/>
  <c r="C19" i="33"/>
  <c r="C47" i="33"/>
  <c r="C74" i="33"/>
  <c r="D23" i="33"/>
  <c r="D50" i="33"/>
  <c r="D78" i="33"/>
  <c r="E26" i="33"/>
  <c r="E54" i="33"/>
  <c r="E81" i="33"/>
  <c r="C27" i="33"/>
  <c r="C55" i="33"/>
  <c r="C82" i="33"/>
  <c r="D31" i="33"/>
  <c r="D58" i="33"/>
  <c r="E7" i="33"/>
  <c r="E34" i="33"/>
  <c r="E62" i="33"/>
  <c r="C8" i="33"/>
  <c r="C35" i="33"/>
  <c r="C63" i="33"/>
  <c r="D11" i="33"/>
  <c r="D39" i="33"/>
  <c r="D67" i="33"/>
  <c r="E14" i="33"/>
  <c r="E42" i="33"/>
  <c r="C23" i="33"/>
  <c r="C50" i="33"/>
  <c r="C78" i="33"/>
  <c r="D26" i="33"/>
  <c r="D54" i="33"/>
  <c r="D81" i="33"/>
  <c r="E30" i="33"/>
  <c r="E57" i="33"/>
  <c r="E84" i="33"/>
  <c r="E11" i="33"/>
  <c r="D56" i="33"/>
  <c r="C60" i="33"/>
  <c r="C25" i="33"/>
  <c r="E32" i="33"/>
  <c r="D77" i="33"/>
  <c r="D42" i="33"/>
  <c r="C17" i="33"/>
  <c r="C44" i="33"/>
  <c r="C72" i="33"/>
  <c r="D20" i="33"/>
  <c r="D48" i="33"/>
  <c r="D76" i="33"/>
  <c r="E24" i="33"/>
  <c r="E51" i="33"/>
  <c r="E79" i="33"/>
  <c r="E73" i="33"/>
  <c r="C26" i="33"/>
  <c r="C54" i="33"/>
  <c r="C81" i="33"/>
  <c r="D30" i="33"/>
  <c r="D57" i="33"/>
  <c r="D84" i="33"/>
  <c r="E33" i="33"/>
  <c r="E61" i="33"/>
  <c r="C7" i="33"/>
  <c r="C34" i="33"/>
  <c r="C62" i="33"/>
  <c r="D10" i="33"/>
  <c r="D37" i="33"/>
  <c r="D65" i="33"/>
  <c r="E13" i="33"/>
  <c r="E41" i="33"/>
  <c r="E69" i="33"/>
  <c r="C14" i="33"/>
  <c r="C42" i="33"/>
  <c r="C70" i="33"/>
  <c r="D18" i="33"/>
  <c r="D46" i="33"/>
  <c r="D73" i="33"/>
  <c r="E22" i="33"/>
  <c r="E49" i="33"/>
  <c r="E77" i="33"/>
  <c r="C30" i="33"/>
  <c r="C57" i="33"/>
  <c r="C84" i="33"/>
  <c r="D33" i="33"/>
  <c r="D61" i="33"/>
  <c r="E9" i="33"/>
  <c r="E36" i="33"/>
  <c r="E64" i="33"/>
  <c r="C9" i="33"/>
  <c r="C11" i="33"/>
  <c r="E18" i="33"/>
  <c r="D22" i="33"/>
  <c r="C67" i="33"/>
  <c r="C32" i="33"/>
  <c r="E39" i="33"/>
  <c r="D83" i="33"/>
  <c r="C24" i="33"/>
  <c r="C51" i="33"/>
  <c r="C79" i="33"/>
  <c r="D27" i="33"/>
  <c r="D55" i="33"/>
  <c r="D82" i="33"/>
  <c r="E31" i="33"/>
  <c r="E58" i="33"/>
  <c r="E53" i="33"/>
  <c r="E80" i="33"/>
  <c r="C33" i="33"/>
  <c r="C61" i="33"/>
  <c r="D9" i="33"/>
  <c r="D36" i="33"/>
  <c r="D64" i="33"/>
  <c r="E12" i="33"/>
  <c r="E40" i="33"/>
  <c r="E68" i="33"/>
  <c r="C13" i="33"/>
  <c r="C41" i="33"/>
  <c r="C69" i="33"/>
  <c r="D17" i="33"/>
  <c r="D44" i="33"/>
  <c r="D72" i="33"/>
  <c r="E20" i="33"/>
  <c r="E48" i="33"/>
  <c r="E76" i="33"/>
  <c r="C22" i="33"/>
  <c r="C49" i="33"/>
  <c r="C77" i="33"/>
  <c r="D25" i="33"/>
  <c r="D53" i="33"/>
  <c r="D80" i="33"/>
  <c r="E29" i="33"/>
  <c r="E56" i="33"/>
  <c r="E83" i="33"/>
  <c r="C36" i="33"/>
  <c r="C64" i="33"/>
  <c r="D12" i="33"/>
  <c r="D40" i="33"/>
  <c r="D68" i="33"/>
  <c r="E16" i="33"/>
  <c r="E43" i="33"/>
  <c r="C21" i="33" l="1"/>
  <c r="D45" i="33"/>
  <c r="C52" i="33"/>
  <c r="E66" i="33"/>
  <c r="E75" i="33"/>
  <c r="E21" i="33"/>
  <c r="D28" i="33"/>
  <c r="E6" i="33"/>
  <c r="E59" i="33"/>
  <c r="D75" i="33"/>
  <c r="C59" i="33"/>
  <c r="C75" i="33"/>
  <c r="C15" i="33"/>
  <c r="E28" i="33"/>
  <c r="D15" i="33"/>
  <c r="E45" i="33"/>
  <c r="C28" i="33"/>
  <c r="D21" i="33"/>
  <c r="C6" i="33"/>
  <c r="D66" i="33"/>
  <c r="C45" i="33"/>
  <c r="D6" i="33"/>
  <c r="E52" i="33"/>
  <c r="D52" i="33"/>
  <c r="C66" i="33"/>
  <c r="D59" i="33"/>
  <c r="C38" i="33"/>
  <c r="E15" i="33"/>
  <c r="E38" i="33"/>
  <c r="D38" i="33"/>
  <c r="E5" i="33" l="1"/>
  <c r="C5" i="33"/>
  <c r="D5" i="33"/>
  <c r="E76" i="12"/>
  <c r="D76" i="12"/>
  <c r="C76" i="12"/>
  <c r="C75" i="12"/>
  <c r="G33" i="31"/>
  <c r="K33" i="31"/>
  <c r="L33" i="31"/>
  <c r="O33" i="31"/>
  <c r="P33" i="31"/>
  <c r="R33" i="31"/>
  <c r="T33" i="31"/>
  <c r="V33" i="31"/>
  <c r="G22" i="31"/>
  <c r="K22" i="31"/>
  <c r="L22" i="31"/>
  <c r="O22" i="31"/>
  <c r="P22" i="31"/>
  <c r="R22" i="31"/>
  <c r="T22" i="31"/>
  <c r="V22" i="31"/>
  <c r="G11" i="31"/>
  <c r="K11" i="31"/>
  <c r="L11" i="31"/>
  <c r="O11" i="31"/>
  <c r="P11" i="31"/>
  <c r="R11" i="31"/>
  <c r="T11" i="31"/>
  <c r="V11" i="31"/>
  <c r="D75" i="12" l="1"/>
  <c r="E75" i="12"/>
  <c r="L25" i="12" l="1"/>
  <c r="L26" i="12"/>
  <c r="T4" i="14" l="1"/>
  <c r="V4" i="14"/>
  <c r="R4" i="14"/>
  <c r="G4" i="14"/>
  <c r="L4" i="14"/>
  <c r="O4" i="14"/>
  <c r="P4" i="14"/>
  <c r="K4" i="14"/>
  <c r="C17" i="32" l="1"/>
  <c r="C12" i="32"/>
  <c r="C22" i="32"/>
  <c r="C24" i="32"/>
  <c r="C21" i="32"/>
  <c r="C31" i="32"/>
  <c r="C30" i="32" s="1"/>
  <c r="C18" i="32"/>
  <c r="C27" i="32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C1" i="25" l="1"/>
  <c r="E1" i="17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6" i="25"/>
  <c r="F37" i="25"/>
  <c r="F38" i="25"/>
  <c r="F39" i="25"/>
  <c r="F40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3" i="25"/>
  <c r="L8" i="12" l="1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7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3" i="17"/>
  <c r="Q34" i="31" l="1"/>
  <c r="Q24" i="31"/>
  <c r="Q12" i="31"/>
  <c r="Q23" i="31"/>
  <c r="Q13" i="31"/>
  <c r="Q35" i="31"/>
  <c r="Q71" i="14"/>
  <c r="Q66" i="14"/>
  <c r="Q52" i="14"/>
  <c r="Q45" i="14"/>
  <c r="Q37" i="14"/>
  <c r="Q30" i="14"/>
  <c r="Q74" i="14"/>
  <c r="Q72" i="14"/>
  <c r="Q69" i="14"/>
  <c r="Q67" i="14"/>
  <c r="Q65" i="14"/>
  <c r="Q59" i="14"/>
  <c r="Q53" i="14"/>
  <c r="Q51" i="14"/>
  <c r="Q48" i="14"/>
  <c r="Q46" i="14"/>
  <c r="Q44" i="14"/>
  <c r="Q42" i="14"/>
  <c r="Q36" i="14"/>
  <c r="Q34" i="14"/>
  <c r="Q31" i="14"/>
  <c r="Q25" i="14"/>
  <c r="Q17" i="14"/>
  <c r="Q6" i="14"/>
  <c r="Q68" i="14"/>
  <c r="Q64" i="14"/>
  <c r="Q47" i="14"/>
  <c r="Q35" i="14"/>
  <c r="Q21" i="14"/>
  <c r="Q75" i="14"/>
  <c r="Q73" i="14"/>
  <c r="Q54" i="14"/>
  <c r="Q50" i="14"/>
  <c r="Q43" i="14"/>
  <c r="Q33" i="14"/>
  <c r="Q12" i="14"/>
  <c r="F501" i="4"/>
  <c r="D501" i="4"/>
  <c r="C501" i="4"/>
  <c r="B501" i="4"/>
  <c r="A501" i="4"/>
  <c r="F500" i="4"/>
  <c r="D500" i="4"/>
  <c r="C500" i="4"/>
  <c r="B500" i="4"/>
  <c r="A500" i="4"/>
  <c r="F499" i="4"/>
  <c r="D499" i="4"/>
  <c r="C499" i="4"/>
  <c r="B499" i="4"/>
  <c r="A499" i="4"/>
  <c r="F498" i="4"/>
  <c r="D498" i="4"/>
  <c r="C498" i="4"/>
  <c r="B498" i="4"/>
  <c r="A498" i="4"/>
  <c r="F497" i="4"/>
  <c r="D497" i="4"/>
  <c r="C497" i="4"/>
  <c r="B497" i="4"/>
  <c r="A497" i="4"/>
  <c r="F496" i="4"/>
  <c r="D496" i="4"/>
  <c r="C496" i="4"/>
  <c r="B496" i="4"/>
  <c r="A496" i="4"/>
  <c r="F495" i="4"/>
  <c r="D495" i="4"/>
  <c r="C495" i="4"/>
  <c r="B495" i="4"/>
  <c r="A495" i="4"/>
  <c r="F494" i="4"/>
  <c r="D494" i="4"/>
  <c r="C494" i="4"/>
  <c r="B494" i="4"/>
  <c r="A494" i="4"/>
  <c r="F493" i="4"/>
  <c r="D493" i="4"/>
  <c r="C493" i="4"/>
  <c r="B493" i="4"/>
  <c r="A493" i="4"/>
  <c r="F492" i="4"/>
  <c r="D492" i="4"/>
  <c r="C492" i="4"/>
  <c r="B492" i="4"/>
  <c r="A492" i="4"/>
  <c r="F491" i="4"/>
  <c r="D491" i="4"/>
  <c r="C491" i="4"/>
  <c r="B491" i="4"/>
  <c r="A491" i="4"/>
  <c r="F490" i="4"/>
  <c r="D490" i="4"/>
  <c r="C490" i="4"/>
  <c r="B490" i="4"/>
  <c r="A490" i="4"/>
  <c r="F489" i="4"/>
  <c r="D489" i="4"/>
  <c r="C489" i="4"/>
  <c r="B489" i="4"/>
  <c r="A489" i="4"/>
  <c r="F488" i="4"/>
  <c r="D488" i="4"/>
  <c r="C488" i="4"/>
  <c r="B488" i="4"/>
  <c r="A488" i="4"/>
  <c r="F487" i="4"/>
  <c r="D487" i="4"/>
  <c r="C487" i="4"/>
  <c r="B487" i="4"/>
  <c r="A487" i="4"/>
  <c r="F486" i="4"/>
  <c r="D486" i="4"/>
  <c r="C486" i="4"/>
  <c r="B486" i="4"/>
  <c r="A486" i="4"/>
  <c r="F485" i="4"/>
  <c r="D485" i="4"/>
  <c r="C485" i="4"/>
  <c r="B485" i="4"/>
  <c r="A485" i="4"/>
  <c r="F484" i="4"/>
  <c r="D484" i="4"/>
  <c r="C484" i="4"/>
  <c r="B484" i="4"/>
  <c r="A484" i="4"/>
  <c r="F483" i="4"/>
  <c r="D483" i="4"/>
  <c r="C483" i="4"/>
  <c r="B483" i="4"/>
  <c r="A483" i="4"/>
  <c r="F482" i="4"/>
  <c r="D482" i="4"/>
  <c r="C482" i="4"/>
  <c r="B482" i="4"/>
  <c r="A482" i="4"/>
  <c r="F481" i="4"/>
  <c r="D481" i="4"/>
  <c r="C481" i="4"/>
  <c r="B481" i="4"/>
  <c r="A481" i="4"/>
  <c r="F480" i="4"/>
  <c r="D480" i="4"/>
  <c r="C480" i="4"/>
  <c r="B480" i="4"/>
  <c r="A480" i="4"/>
  <c r="F479" i="4"/>
  <c r="D479" i="4"/>
  <c r="C479" i="4"/>
  <c r="B479" i="4"/>
  <c r="A479" i="4"/>
  <c r="F478" i="4"/>
  <c r="D478" i="4"/>
  <c r="C478" i="4"/>
  <c r="B478" i="4"/>
  <c r="A478" i="4"/>
  <c r="F477" i="4"/>
  <c r="D477" i="4"/>
  <c r="C477" i="4"/>
  <c r="B477" i="4"/>
  <c r="A477" i="4"/>
  <c r="F476" i="4"/>
  <c r="D476" i="4"/>
  <c r="C476" i="4"/>
  <c r="B476" i="4"/>
  <c r="A476" i="4"/>
  <c r="F475" i="4"/>
  <c r="D475" i="4"/>
  <c r="C475" i="4"/>
  <c r="B475" i="4"/>
  <c r="A475" i="4"/>
  <c r="F474" i="4"/>
  <c r="D474" i="4"/>
  <c r="C474" i="4"/>
  <c r="B474" i="4"/>
  <c r="A474" i="4"/>
  <c r="F473" i="4"/>
  <c r="D473" i="4"/>
  <c r="C473" i="4"/>
  <c r="B473" i="4"/>
  <c r="A473" i="4"/>
  <c r="F472" i="4"/>
  <c r="D472" i="4"/>
  <c r="C472" i="4"/>
  <c r="B472" i="4"/>
  <c r="A472" i="4"/>
  <c r="F471" i="4"/>
  <c r="D471" i="4"/>
  <c r="C471" i="4"/>
  <c r="B471" i="4"/>
  <c r="A471" i="4"/>
  <c r="F470" i="4"/>
  <c r="D470" i="4"/>
  <c r="C470" i="4"/>
  <c r="B470" i="4"/>
  <c r="A470" i="4"/>
  <c r="F469" i="4"/>
  <c r="D469" i="4"/>
  <c r="C469" i="4"/>
  <c r="B469" i="4"/>
  <c r="A469" i="4"/>
  <c r="F468" i="4"/>
  <c r="D468" i="4"/>
  <c r="C468" i="4"/>
  <c r="B468" i="4"/>
  <c r="A468" i="4"/>
  <c r="F467" i="4"/>
  <c r="D467" i="4"/>
  <c r="C467" i="4"/>
  <c r="B467" i="4"/>
  <c r="A467" i="4"/>
  <c r="F466" i="4"/>
  <c r="D466" i="4"/>
  <c r="C466" i="4"/>
  <c r="B466" i="4"/>
  <c r="A466" i="4"/>
  <c r="F465" i="4"/>
  <c r="D465" i="4"/>
  <c r="C465" i="4"/>
  <c r="B465" i="4"/>
  <c r="A465" i="4"/>
  <c r="F464" i="4"/>
  <c r="D464" i="4"/>
  <c r="C464" i="4"/>
  <c r="B464" i="4"/>
  <c r="A464" i="4"/>
  <c r="F463" i="4"/>
  <c r="D463" i="4"/>
  <c r="C463" i="4"/>
  <c r="B463" i="4"/>
  <c r="A463" i="4"/>
  <c r="F462" i="4"/>
  <c r="D462" i="4"/>
  <c r="C462" i="4"/>
  <c r="B462" i="4"/>
  <c r="A462" i="4"/>
  <c r="F461" i="4"/>
  <c r="D461" i="4"/>
  <c r="C461" i="4"/>
  <c r="B461" i="4"/>
  <c r="A461" i="4"/>
  <c r="F460" i="4"/>
  <c r="D460" i="4"/>
  <c r="C460" i="4"/>
  <c r="B460" i="4"/>
  <c r="A460" i="4"/>
  <c r="F459" i="4"/>
  <c r="D459" i="4"/>
  <c r="C459" i="4"/>
  <c r="B459" i="4"/>
  <c r="A459" i="4"/>
  <c r="F458" i="4"/>
  <c r="D458" i="4"/>
  <c r="C458" i="4"/>
  <c r="B458" i="4"/>
  <c r="A458" i="4"/>
  <c r="F457" i="4"/>
  <c r="D457" i="4"/>
  <c r="C457" i="4"/>
  <c r="B457" i="4"/>
  <c r="A457" i="4"/>
  <c r="F456" i="4"/>
  <c r="D456" i="4"/>
  <c r="C456" i="4"/>
  <c r="B456" i="4"/>
  <c r="A456" i="4"/>
  <c r="F455" i="4"/>
  <c r="D455" i="4"/>
  <c r="C455" i="4"/>
  <c r="B455" i="4"/>
  <c r="A455" i="4"/>
  <c r="F454" i="4"/>
  <c r="D454" i="4"/>
  <c r="C454" i="4"/>
  <c r="B454" i="4"/>
  <c r="A454" i="4"/>
  <c r="F453" i="4"/>
  <c r="D453" i="4"/>
  <c r="C453" i="4"/>
  <c r="B453" i="4"/>
  <c r="A453" i="4"/>
  <c r="F452" i="4"/>
  <c r="D452" i="4"/>
  <c r="C452" i="4"/>
  <c r="B452" i="4"/>
  <c r="A452" i="4"/>
  <c r="F451" i="4"/>
  <c r="D451" i="4"/>
  <c r="C451" i="4"/>
  <c r="B451" i="4"/>
  <c r="A451" i="4"/>
  <c r="F450" i="4"/>
  <c r="D450" i="4"/>
  <c r="C450" i="4"/>
  <c r="B450" i="4"/>
  <c r="A450" i="4"/>
  <c r="F449" i="4"/>
  <c r="D449" i="4"/>
  <c r="C449" i="4"/>
  <c r="B449" i="4"/>
  <c r="A449" i="4"/>
  <c r="F448" i="4"/>
  <c r="D448" i="4"/>
  <c r="C448" i="4"/>
  <c r="B448" i="4"/>
  <c r="A448" i="4"/>
  <c r="F447" i="4"/>
  <c r="D447" i="4"/>
  <c r="C447" i="4"/>
  <c r="B447" i="4"/>
  <c r="A447" i="4"/>
  <c r="F446" i="4"/>
  <c r="D446" i="4"/>
  <c r="C446" i="4"/>
  <c r="B446" i="4"/>
  <c r="A446" i="4"/>
  <c r="F445" i="4"/>
  <c r="D445" i="4"/>
  <c r="C445" i="4"/>
  <c r="B445" i="4"/>
  <c r="A445" i="4"/>
  <c r="F444" i="4"/>
  <c r="D444" i="4"/>
  <c r="C444" i="4"/>
  <c r="B444" i="4"/>
  <c r="A444" i="4"/>
  <c r="F443" i="4"/>
  <c r="D443" i="4"/>
  <c r="C443" i="4"/>
  <c r="B443" i="4"/>
  <c r="A443" i="4"/>
  <c r="F442" i="4"/>
  <c r="D442" i="4"/>
  <c r="C442" i="4"/>
  <c r="B442" i="4"/>
  <c r="A442" i="4"/>
  <c r="F441" i="4"/>
  <c r="D441" i="4"/>
  <c r="C441" i="4"/>
  <c r="B441" i="4"/>
  <c r="A441" i="4"/>
  <c r="F440" i="4"/>
  <c r="D440" i="4"/>
  <c r="C440" i="4"/>
  <c r="B440" i="4"/>
  <c r="A440" i="4"/>
  <c r="F439" i="4"/>
  <c r="D439" i="4"/>
  <c r="C439" i="4"/>
  <c r="B439" i="4"/>
  <c r="A439" i="4"/>
  <c r="F438" i="4"/>
  <c r="D438" i="4"/>
  <c r="C438" i="4"/>
  <c r="B438" i="4"/>
  <c r="A438" i="4"/>
  <c r="F437" i="4"/>
  <c r="D437" i="4"/>
  <c r="C437" i="4"/>
  <c r="B437" i="4"/>
  <c r="A437" i="4"/>
  <c r="F436" i="4"/>
  <c r="D436" i="4"/>
  <c r="C436" i="4"/>
  <c r="B436" i="4"/>
  <c r="A436" i="4"/>
  <c r="F435" i="4"/>
  <c r="D435" i="4"/>
  <c r="C435" i="4"/>
  <c r="B435" i="4"/>
  <c r="A435" i="4"/>
  <c r="F434" i="4"/>
  <c r="D434" i="4"/>
  <c r="C434" i="4"/>
  <c r="B434" i="4"/>
  <c r="A434" i="4"/>
  <c r="F433" i="4"/>
  <c r="D433" i="4"/>
  <c r="C433" i="4"/>
  <c r="B433" i="4"/>
  <c r="A433" i="4"/>
  <c r="F432" i="4"/>
  <c r="D432" i="4"/>
  <c r="C432" i="4"/>
  <c r="B432" i="4"/>
  <c r="A432" i="4"/>
  <c r="F431" i="4"/>
  <c r="D431" i="4"/>
  <c r="C431" i="4"/>
  <c r="B431" i="4"/>
  <c r="A431" i="4"/>
  <c r="F430" i="4"/>
  <c r="D430" i="4"/>
  <c r="C430" i="4"/>
  <c r="B430" i="4"/>
  <c r="A430" i="4"/>
  <c r="F429" i="4"/>
  <c r="D429" i="4"/>
  <c r="C429" i="4"/>
  <c r="B429" i="4"/>
  <c r="A429" i="4"/>
  <c r="F428" i="4"/>
  <c r="D428" i="4"/>
  <c r="C428" i="4"/>
  <c r="B428" i="4"/>
  <c r="A428" i="4"/>
  <c r="F427" i="4"/>
  <c r="D427" i="4"/>
  <c r="C427" i="4"/>
  <c r="B427" i="4"/>
  <c r="A427" i="4"/>
  <c r="F426" i="4"/>
  <c r="D426" i="4"/>
  <c r="C426" i="4"/>
  <c r="B426" i="4"/>
  <c r="A426" i="4"/>
  <c r="F425" i="4"/>
  <c r="D425" i="4"/>
  <c r="C425" i="4"/>
  <c r="B425" i="4"/>
  <c r="A425" i="4"/>
  <c r="F424" i="4"/>
  <c r="D424" i="4"/>
  <c r="C424" i="4"/>
  <c r="B424" i="4"/>
  <c r="A424" i="4"/>
  <c r="F423" i="4"/>
  <c r="D423" i="4"/>
  <c r="C423" i="4"/>
  <c r="B423" i="4"/>
  <c r="A423" i="4"/>
  <c r="F422" i="4"/>
  <c r="D422" i="4"/>
  <c r="C422" i="4"/>
  <c r="B422" i="4"/>
  <c r="A422" i="4"/>
  <c r="F421" i="4"/>
  <c r="D421" i="4"/>
  <c r="C421" i="4"/>
  <c r="B421" i="4"/>
  <c r="A421" i="4"/>
  <c r="F420" i="4"/>
  <c r="D420" i="4"/>
  <c r="C420" i="4"/>
  <c r="B420" i="4"/>
  <c r="A420" i="4"/>
  <c r="F419" i="4"/>
  <c r="D419" i="4"/>
  <c r="C419" i="4"/>
  <c r="B419" i="4"/>
  <c r="A419" i="4"/>
  <c r="F418" i="4"/>
  <c r="D418" i="4"/>
  <c r="C418" i="4"/>
  <c r="B418" i="4"/>
  <c r="A418" i="4"/>
  <c r="F417" i="4"/>
  <c r="D417" i="4"/>
  <c r="C417" i="4"/>
  <c r="B417" i="4"/>
  <c r="A417" i="4"/>
  <c r="F416" i="4"/>
  <c r="D416" i="4"/>
  <c r="C416" i="4"/>
  <c r="B416" i="4"/>
  <c r="A416" i="4"/>
  <c r="F415" i="4"/>
  <c r="D415" i="4"/>
  <c r="C415" i="4"/>
  <c r="B415" i="4"/>
  <c r="A415" i="4"/>
  <c r="F414" i="4"/>
  <c r="D414" i="4"/>
  <c r="C414" i="4"/>
  <c r="B414" i="4"/>
  <c r="A414" i="4"/>
  <c r="F413" i="4"/>
  <c r="D413" i="4"/>
  <c r="C413" i="4"/>
  <c r="B413" i="4"/>
  <c r="A413" i="4"/>
  <c r="F412" i="4"/>
  <c r="D412" i="4"/>
  <c r="C412" i="4"/>
  <c r="B412" i="4"/>
  <c r="A412" i="4"/>
  <c r="F411" i="4"/>
  <c r="D411" i="4"/>
  <c r="C411" i="4"/>
  <c r="B411" i="4"/>
  <c r="A411" i="4"/>
  <c r="F410" i="4"/>
  <c r="D410" i="4"/>
  <c r="C410" i="4"/>
  <c r="B410" i="4"/>
  <c r="A410" i="4"/>
  <c r="F409" i="4"/>
  <c r="D409" i="4"/>
  <c r="C409" i="4"/>
  <c r="B409" i="4"/>
  <c r="A409" i="4"/>
  <c r="F408" i="4"/>
  <c r="D408" i="4"/>
  <c r="C408" i="4"/>
  <c r="B408" i="4"/>
  <c r="A408" i="4"/>
  <c r="F407" i="4"/>
  <c r="D407" i="4"/>
  <c r="C407" i="4"/>
  <c r="B407" i="4"/>
  <c r="A407" i="4"/>
  <c r="F406" i="4"/>
  <c r="D406" i="4"/>
  <c r="C406" i="4"/>
  <c r="B406" i="4"/>
  <c r="A406" i="4"/>
  <c r="F405" i="4"/>
  <c r="D405" i="4"/>
  <c r="C405" i="4"/>
  <c r="B405" i="4"/>
  <c r="A405" i="4"/>
  <c r="F404" i="4"/>
  <c r="D404" i="4"/>
  <c r="C404" i="4"/>
  <c r="B404" i="4"/>
  <c r="A404" i="4"/>
  <c r="F403" i="4"/>
  <c r="D403" i="4"/>
  <c r="C403" i="4"/>
  <c r="B403" i="4"/>
  <c r="A403" i="4"/>
  <c r="F402" i="4"/>
  <c r="D402" i="4"/>
  <c r="C402" i="4"/>
  <c r="B402" i="4"/>
  <c r="A402" i="4"/>
  <c r="F401" i="4"/>
  <c r="D401" i="4"/>
  <c r="C401" i="4"/>
  <c r="B401" i="4"/>
  <c r="A401" i="4"/>
  <c r="F400" i="4"/>
  <c r="D400" i="4"/>
  <c r="C400" i="4"/>
  <c r="B400" i="4"/>
  <c r="A400" i="4"/>
  <c r="F399" i="4"/>
  <c r="D399" i="4"/>
  <c r="C399" i="4"/>
  <c r="B399" i="4"/>
  <c r="A399" i="4"/>
  <c r="F398" i="4"/>
  <c r="D398" i="4"/>
  <c r="C398" i="4"/>
  <c r="B398" i="4"/>
  <c r="A398" i="4"/>
  <c r="F397" i="4"/>
  <c r="D397" i="4"/>
  <c r="C397" i="4"/>
  <c r="B397" i="4"/>
  <c r="A397" i="4"/>
  <c r="F396" i="4"/>
  <c r="D396" i="4"/>
  <c r="C396" i="4"/>
  <c r="B396" i="4"/>
  <c r="A396" i="4"/>
  <c r="F395" i="4"/>
  <c r="D395" i="4"/>
  <c r="C395" i="4"/>
  <c r="B395" i="4"/>
  <c r="A395" i="4"/>
  <c r="F394" i="4"/>
  <c r="D394" i="4"/>
  <c r="C394" i="4"/>
  <c r="B394" i="4"/>
  <c r="A394" i="4"/>
  <c r="F393" i="4"/>
  <c r="D393" i="4"/>
  <c r="C393" i="4"/>
  <c r="B393" i="4"/>
  <c r="A393" i="4"/>
  <c r="F392" i="4"/>
  <c r="D392" i="4"/>
  <c r="C392" i="4"/>
  <c r="B392" i="4"/>
  <c r="A392" i="4"/>
  <c r="F391" i="4"/>
  <c r="D391" i="4"/>
  <c r="C391" i="4"/>
  <c r="B391" i="4"/>
  <c r="A391" i="4"/>
  <c r="F390" i="4"/>
  <c r="D390" i="4"/>
  <c r="C390" i="4"/>
  <c r="B390" i="4"/>
  <c r="A390" i="4"/>
  <c r="F389" i="4"/>
  <c r="D389" i="4"/>
  <c r="C389" i="4"/>
  <c r="B389" i="4"/>
  <c r="A389" i="4"/>
  <c r="F388" i="4"/>
  <c r="D388" i="4"/>
  <c r="C388" i="4"/>
  <c r="B388" i="4"/>
  <c r="A388" i="4"/>
  <c r="F387" i="4"/>
  <c r="D387" i="4"/>
  <c r="C387" i="4"/>
  <c r="B387" i="4"/>
  <c r="A387" i="4"/>
  <c r="F386" i="4"/>
  <c r="D386" i="4"/>
  <c r="C386" i="4"/>
  <c r="B386" i="4"/>
  <c r="A386" i="4"/>
  <c r="F385" i="4"/>
  <c r="D385" i="4"/>
  <c r="C385" i="4"/>
  <c r="B385" i="4"/>
  <c r="A385" i="4"/>
  <c r="F384" i="4"/>
  <c r="D384" i="4"/>
  <c r="C384" i="4"/>
  <c r="B384" i="4"/>
  <c r="A384" i="4"/>
  <c r="F383" i="4"/>
  <c r="D383" i="4"/>
  <c r="C383" i="4"/>
  <c r="B383" i="4"/>
  <c r="A383" i="4"/>
  <c r="F382" i="4"/>
  <c r="D382" i="4"/>
  <c r="C382" i="4"/>
  <c r="B382" i="4"/>
  <c r="A382" i="4"/>
  <c r="F381" i="4"/>
  <c r="D381" i="4"/>
  <c r="C381" i="4"/>
  <c r="B381" i="4"/>
  <c r="A381" i="4"/>
  <c r="F380" i="4"/>
  <c r="D380" i="4"/>
  <c r="C380" i="4"/>
  <c r="B380" i="4"/>
  <c r="A380" i="4"/>
  <c r="F379" i="4"/>
  <c r="D379" i="4"/>
  <c r="C379" i="4"/>
  <c r="B379" i="4"/>
  <c r="A379" i="4"/>
  <c r="F378" i="4"/>
  <c r="D378" i="4"/>
  <c r="C378" i="4"/>
  <c r="B378" i="4"/>
  <c r="A378" i="4"/>
  <c r="F377" i="4"/>
  <c r="D377" i="4"/>
  <c r="C377" i="4"/>
  <c r="B377" i="4"/>
  <c r="A377" i="4"/>
  <c r="F376" i="4"/>
  <c r="D376" i="4"/>
  <c r="C376" i="4"/>
  <c r="B376" i="4"/>
  <c r="A376" i="4"/>
  <c r="F375" i="4"/>
  <c r="D375" i="4"/>
  <c r="C375" i="4"/>
  <c r="B375" i="4"/>
  <c r="A375" i="4"/>
  <c r="F374" i="4"/>
  <c r="D374" i="4"/>
  <c r="C374" i="4"/>
  <c r="B374" i="4"/>
  <c r="A374" i="4"/>
  <c r="F373" i="4"/>
  <c r="D373" i="4"/>
  <c r="C373" i="4"/>
  <c r="B373" i="4"/>
  <c r="A373" i="4"/>
  <c r="F372" i="4"/>
  <c r="D372" i="4"/>
  <c r="C372" i="4"/>
  <c r="B372" i="4"/>
  <c r="A372" i="4"/>
  <c r="F371" i="4"/>
  <c r="D371" i="4"/>
  <c r="C371" i="4"/>
  <c r="B371" i="4"/>
  <c r="A371" i="4"/>
  <c r="F370" i="4"/>
  <c r="D370" i="4"/>
  <c r="C370" i="4"/>
  <c r="B370" i="4"/>
  <c r="A370" i="4"/>
  <c r="F369" i="4"/>
  <c r="D369" i="4"/>
  <c r="C369" i="4"/>
  <c r="B369" i="4"/>
  <c r="A369" i="4"/>
  <c r="F368" i="4"/>
  <c r="D368" i="4"/>
  <c r="C368" i="4"/>
  <c r="B368" i="4"/>
  <c r="A368" i="4"/>
  <c r="F367" i="4"/>
  <c r="D367" i="4"/>
  <c r="C367" i="4"/>
  <c r="B367" i="4"/>
  <c r="A367" i="4"/>
  <c r="F366" i="4"/>
  <c r="D366" i="4"/>
  <c r="C366" i="4"/>
  <c r="B366" i="4"/>
  <c r="A366" i="4"/>
  <c r="F365" i="4"/>
  <c r="D365" i="4"/>
  <c r="C365" i="4"/>
  <c r="B365" i="4"/>
  <c r="A365" i="4"/>
  <c r="F364" i="4"/>
  <c r="D364" i="4"/>
  <c r="C364" i="4"/>
  <c r="B364" i="4"/>
  <c r="A364" i="4"/>
  <c r="F363" i="4"/>
  <c r="D363" i="4"/>
  <c r="C363" i="4"/>
  <c r="B363" i="4"/>
  <c r="A363" i="4"/>
  <c r="F362" i="4"/>
  <c r="D362" i="4"/>
  <c r="C362" i="4"/>
  <c r="B362" i="4"/>
  <c r="A362" i="4"/>
  <c r="F361" i="4"/>
  <c r="D361" i="4"/>
  <c r="C361" i="4"/>
  <c r="B361" i="4"/>
  <c r="A361" i="4"/>
  <c r="F360" i="4"/>
  <c r="D360" i="4"/>
  <c r="C360" i="4"/>
  <c r="B360" i="4"/>
  <c r="A360" i="4"/>
  <c r="F359" i="4"/>
  <c r="D359" i="4"/>
  <c r="C359" i="4"/>
  <c r="B359" i="4"/>
  <c r="A359" i="4"/>
  <c r="F358" i="4"/>
  <c r="D358" i="4"/>
  <c r="C358" i="4"/>
  <c r="B358" i="4"/>
  <c r="A358" i="4"/>
  <c r="F357" i="4"/>
  <c r="D357" i="4"/>
  <c r="C357" i="4"/>
  <c r="B357" i="4"/>
  <c r="A357" i="4"/>
  <c r="F356" i="4"/>
  <c r="D356" i="4"/>
  <c r="C356" i="4"/>
  <c r="B356" i="4"/>
  <c r="A356" i="4"/>
  <c r="F355" i="4"/>
  <c r="D355" i="4"/>
  <c r="C355" i="4"/>
  <c r="B355" i="4"/>
  <c r="A355" i="4"/>
  <c r="F354" i="4"/>
  <c r="D354" i="4"/>
  <c r="C354" i="4"/>
  <c r="B354" i="4"/>
  <c r="A354" i="4"/>
  <c r="F353" i="4"/>
  <c r="D353" i="4"/>
  <c r="C353" i="4"/>
  <c r="B353" i="4"/>
  <c r="A353" i="4"/>
  <c r="F352" i="4"/>
  <c r="D352" i="4"/>
  <c r="C352" i="4"/>
  <c r="B352" i="4"/>
  <c r="A352" i="4"/>
  <c r="F351" i="4"/>
  <c r="D351" i="4"/>
  <c r="C351" i="4"/>
  <c r="B351" i="4"/>
  <c r="A351" i="4"/>
  <c r="F350" i="4"/>
  <c r="D350" i="4"/>
  <c r="C350" i="4"/>
  <c r="B350" i="4"/>
  <c r="A350" i="4"/>
  <c r="F349" i="4"/>
  <c r="D349" i="4"/>
  <c r="C349" i="4"/>
  <c r="B349" i="4"/>
  <c r="A349" i="4"/>
  <c r="F348" i="4"/>
  <c r="D348" i="4"/>
  <c r="C348" i="4"/>
  <c r="B348" i="4"/>
  <c r="A348" i="4"/>
  <c r="F347" i="4"/>
  <c r="D347" i="4"/>
  <c r="C347" i="4"/>
  <c r="B347" i="4"/>
  <c r="A347" i="4"/>
  <c r="F346" i="4"/>
  <c r="D346" i="4"/>
  <c r="C346" i="4"/>
  <c r="B346" i="4"/>
  <c r="A346" i="4"/>
  <c r="F345" i="4"/>
  <c r="D345" i="4"/>
  <c r="C345" i="4"/>
  <c r="B345" i="4"/>
  <c r="A345" i="4"/>
  <c r="F344" i="4"/>
  <c r="D344" i="4"/>
  <c r="C344" i="4"/>
  <c r="B344" i="4"/>
  <c r="A344" i="4"/>
  <c r="F343" i="4"/>
  <c r="D343" i="4"/>
  <c r="C343" i="4"/>
  <c r="B343" i="4"/>
  <c r="A343" i="4"/>
  <c r="F342" i="4"/>
  <c r="D342" i="4"/>
  <c r="C342" i="4"/>
  <c r="B342" i="4"/>
  <c r="A342" i="4"/>
  <c r="F341" i="4"/>
  <c r="D341" i="4"/>
  <c r="C341" i="4"/>
  <c r="B341" i="4"/>
  <c r="A341" i="4"/>
  <c r="F340" i="4"/>
  <c r="D340" i="4"/>
  <c r="C340" i="4"/>
  <c r="B340" i="4"/>
  <c r="A340" i="4"/>
  <c r="F339" i="4"/>
  <c r="D339" i="4"/>
  <c r="C339" i="4"/>
  <c r="B339" i="4"/>
  <c r="A339" i="4"/>
  <c r="F338" i="4"/>
  <c r="D338" i="4"/>
  <c r="C338" i="4"/>
  <c r="B338" i="4"/>
  <c r="A338" i="4"/>
  <c r="F337" i="4"/>
  <c r="D337" i="4"/>
  <c r="C337" i="4"/>
  <c r="B337" i="4"/>
  <c r="A337" i="4"/>
  <c r="F336" i="4"/>
  <c r="D336" i="4"/>
  <c r="C336" i="4"/>
  <c r="B336" i="4"/>
  <c r="A336" i="4"/>
  <c r="F335" i="4"/>
  <c r="D335" i="4"/>
  <c r="C335" i="4"/>
  <c r="B335" i="4"/>
  <c r="A335" i="4"/>
  <c r="F334" i="4"/>
  <c r="D334" i="4"/>
  <c r="C334" i="4"/>
  <c r="B334" i="4"/>
  <c r="A334" i="4"/>
  <c r="F333" i="4"/>
  <c r="D333" i="4"/>
  <c r="C333" i="4"/>
  <c r="B333" i="4"/>
  <c r="A333" i="4"/>
  <c r="F332" i="4"/>
  <c r="D332" i="4"/>
  <c r="C332" i="4"/>
  <c r="B332" i="4"/>
  <c r="A332" i="4"/>
  <c r="F331" i="4"/>
  <c r="D331" i="4"/>
  <c r="C331" i="4"/>
  <c r="B331" i="4"/>
  <c r="A331" i="4"/>
  <c r="F330" i="4"/>
  <c r="D330" i="4"/>
  <c r="C330" i="4"/>
  <c r="B330" i="4"/>
  <c r="A330" i="4"/>
  <c r="F329" i="4"/>
  <c r="D329" i="4"/>
  <c r="C329" i="4"/>
  <c r="B329" i="4"/>
  <c r="A329" i="4"/>
  <c r="F328" i="4"/>
  <c r="D328" i="4"/>
  <c r="C328" i="4"/>
  <c r="B328" i="4"/>
  <c r="A328" i="4"/>
  <c r="F327" i="4"/>
  <c r="D327" i="4"/>
  <c r="C327" i="4"/>
  <c r="B327" i="4"/>
  <c r="A327" i="4"/>
  <c r="F326" i="4"/>
  <c r="D326" i="4"/>
  <c r="C326" i="4"/>
  <c r="B326" i="4"/>
  <c r="A326" i="4"/>
  <c r="F325" i="4"/>
  <c r="D325" i="4"/>
  <c r="C325" i="4"/>
  <c r="B325" i="4"/>
  <c r="A325" i="4"/>
  <c r="F324" i="4"/>
  <c r="D324" i="4"/>
  <c r="C324" i="4"/>
  <c r="B324" i="4"/>
  <c r="A324" i="4"/>
  <c r="F323" i="4"/>
  <c r="D323" i="4"/>
  <c r="C323" i="4"/>
  <c r="B323" i="4"/>
  <c r="A323" i="4"/>
  <c r="F322" i="4"/>
  <c r="D322" i="4"/>
  <c r="C322" i="4"/>
  <c r="B322" i="4"/>
  <c r="A322" i="4"/>
  <c r="F321" i="4"/>
  <c r="D321" i="4"/>
  <c r="C321" i="4"/>
  <c r="B321" i="4"/>
  <c r="A321" i="4"/>
  <c r="F320" i="4"/>
  <c r="D320" i="4"/>
  <c r="C320" i="4"/>
  <c r="B320" i="4"/>
  <c r="A320" i="4"/>
  <c r="F319" i="4"/>
  <c r="D319" i="4"/>
  <c r="C319" i="4"/>
  <c r="B319" i="4"/>
  <c r="A319" i="4"/>
  <c r="F318" i="4"/>
  <c r="D318" i="4"/>
  <c r="C318" i="4"/>
  <c r="B318" i="4"/>
  <c r="A318" i="4"/>
  <c r="F317" i="4"/>
  <c r="D317" i="4"/>
  <c r="C317" i="4"/>
  <c r="B317" i="4"/>
  <c r="A317" i="4"/>
  <c r="F316" i="4"/>
  <c r="D316" i="4"/>
  <c r="C316" i="4"/>
  <c r="B316" i="4"/>
  <c r="A316" i="4"/>
  <c r="F315" i="4"/>
  <c r="D315" i="4"/>
  <c r="C315" i="4"/>
  <c r="B315" i="4"/>
  <c r="A315" i="4"/>
  <c r="F314" i="4"/>
  <c r="D314" i="4"/>
  <c r="C314" i="4"/>
  <c r="B314" i="4"/>
  <c r="A314" i="4"/>
  <c r="F313" i="4"/>
  <c r="D313" i="4"/>
  <c r="C313" i="4"/>
  <c r="B313" i="4"/>
  <c r="A313" i="4"/>
  <c r="F312" i="4"/>
  <c r="D312" i="4"/>
  <c r="C312" i="4"/>
  <c r="B312" i="4"/>
  <c r="A312" i="4"/>
  <c r="F311" i="4"/>
  <c r="D311" i="4"/>
  <c r="C311" i="4"/>
  <c r="B311" i="4"/>
  <c r="A311" i="4"/>
  <c r="F310" i="4"/>
  <c r="D310" i="4"/>
  <c r="C310" i="4"/>
  <c r="B310" i="4"/>
  <c r="A310" i="4"/>
  <c r="F309" i="4"/>
  <c r="D309" i="4"/>
  <c r="C309" i="4"/>
  <c r="B309" i="4"/>
  <c r="A309" i="4"/>
  <c r="F308" i="4"/>
  <c r="D308" i="4"/>
  <c r="C308" i="4"/>
  <c r="B308" i="4"/>
  <c r="A308" i="4"/>
  <c r="F307" i="4"/>
  <c r="D307" i="4"/>
  <c r="C307" i="4"/>
  <c r="B307" i="4"/>
  <c r="A307" i="4"/>
  <c r="F306" i="4"/>
  <c r="D306" i="4"/>
  <c r="C306" i="4"/>
  <c r="B306" i="4"/>
  <c r="A306" i="4"/>
  <c r="F305" i="4"/>
  <c r="D305" i="4"/>
  <c r="C305" i="4"/>
  <c r="B305" i="4"/>
  <c r="A305" i="4"/>
  <c r="F304" i="4"/>
  <c r="D304" i="4"/>
  <c r="C304" i="4"/>
  <c r="B304" i="4"/>
  <c r="A304" i="4"/>
  <c r="F303" i="4"/>
  <c r="D303" i="4"/>
  <c r="C303" i="4"/>
  <c r="B303" i="4"/>
  <c r="A303" i="4"/>
  <c r="F302" i="4"/>
  <c r="D302" i="4"/>
  <c r="C302" i="4"/>
  <c r="B302" i="4"/>
  <c r="A302" i="4"/>
  <c r="F301" i="4"/>
  <c r="D301" i="4"/>
  <c r="C301" i="4"/>
  <c r="B301" i="4"/>
  <c r="A301" i="4"/>
  <c r="F300" i="4"/>
  <c r="D300" i="4"/>
  <c r="C300" i="4"/>
  <c r="B300" i="4"/>
  <c r="A300" i="4"/>
  <c r="F299" i="4"/>
  <c r="D299" i="4"/>
  <c r="C299" i="4"/>
  <c r="B299" i="4"/>
  <c r="A299" i="4"/>
  <c r="F298" i="4"/>
  <c r="D298" i="4"/>
  <c r="C298" i="4"/>
  <c r="B298" i="4"/>
  <c r="A298" i="4"/>
  <c r="F297" i="4"/>
  <c r="D297" i="4"/>
  <c r="C297" i="4"/>
  <c r="B297" i="4"/>
  <c r="A297" i="4"/>
  <c r="F296" i="4"/>
  <c r="D296" i="4"/>
  <c r="C296" i="4"/>
  <c r="B296" i="4"/>
  <c r="A296" i="4"/>
  <c r="F295" i="4"/>
  <c r="D295" i="4"/>
  <c r="C295" i="4"/>
  <c r="B295" i="4"/>
  <c r="A295" i="4"/>
  <c r="F294" i="4"/>
  <c r="D294" i="4"/>
  <c r="C294" i="4"/>
  <c r="B294" i="4"/>
  <c r="A294" i="4"/>
  <c r="F293" i="4"/>
  <c r="D293" i="4"/>
  <c r="C293" i="4"/>
  <c r="B293" i="4"/>
  <c r="A293" i="4"/>
  <c r="F292" i="4"/>
  <c r="D292" i="4"/>
  <c r="C292" i="4"/>
  <c r="B292" i="4"/>
  <c r="A292" i="4"/>
  <c r="F291" i="4"/>
  <c r="D291" i="4"/>
  <c r="C291" i="4"/>
  <c r="B291" i="4"/>
  <c r="A291" i="4"/>
  <c r="F290" i="4"/>
  <c r="D290" i="4"/>
  <c r="C290" i="4"/>
  <c r="B290" i="4"/>
  <c r="A290" i="4"/>
  <c r="F289" i="4"/>
  <c r="D289" i="4"/>
  <c r="C289" i="4"/>
  <c r="B289" i="4"/>
  <c r="A289" i="4"/>
  <c r="F288" i="4"/>
  <c r="D288" i="4"/>
  <c r="C288" i="4"/>
  <c r="B288" i="4"/>
  <c r="A288" i="4"/>
  <c r="F287" i="4"/>
  <c r="D287" i="4"/>
  <c r="C287" i="4"/>
  <c r="B287" i="4"/>
  <c r="A287" i="4"/>
  <c r="F286" i="4"/>
  <c r="D286" i="4"/>
  <c r="C286" i="4"/>
  <c r="B286" i="4"/>
  <c r="A286" i="4"/>
  <c r="F285" i="4"/>
  <c r="D285" i="4"/>
  <c r="C285" i="4"/>
  <c r="B285" i="4"/>
  <c r="A285" i="4"/>
  <c r="F284" i="4"/>
  <c r="D284" i="4"/>
  <c r="C284" i="4"/>
  <c r="B284" i="4"/>
  <c r="A284" i="4"/>
  <c r="F283" i="4"/>
  <c r="D283" i="4"/>
  <c r="C283" i="4"/>
  <c r="B283" i="4"/>
  <c r="A283" i="4"/>
  <c r="F282" i="4"/>
  <c r="D282" i="4"/>
  <c r="C282" i="4"/>
  <c r="B282" i="4"/>
  <c r="A282" i="4"/>
  <c r="F281" i="4"/>
  <c r="D281" i="4"/>
  <c r="C281" i="4"/>
  <c r="B281" i="4"/>
  <c r="A281" i="4"/>
  <c r="F280" i="4"/>
  <c r="D280" i="4"/>
  <c r="C280" i="4"/>
  <c r="B280" i="4"/>
  <c r="A280" i="4"/>
  <c r="F279" i="4"/>
  <c r="D279" i="4"/>
  <c r="C279" i="4"/>
  <c r="B279" i="4"/>
  <c r="A279" i="4"/>
  <c r="F278" i="4"/>
  <c r="D278" i="4"/>
  <c r="C278" i="4"/>
  <c r="B278" i="4"/>
  <c r="A278" i="4"/>
  <c r="F277" i="4"/>
  <c r="D277" i="4"/>
  <c r="C277" i="4"/>
  <c r="B277" i="4"/>
  <c r="A277" i="4"/>
  <c r="F276" i="4"/>
  <c r="D276" i="4"/>
  <c r="C276" i="4"/>
  <c r="B276" i="4"/>
  <c r="A276" i="4"/>
  <c r="F275" i="4"/>
  <c r="D275" i="4"/>
  <c r="C275" i="4"/>
  <c r="B275" i="4"/>
  <c r="A275" i="4"/>
  <c r="F274" i="4"/>
  <c r="D274" i="4"/>
  <c r="C274" i="4"/>
  <c r="B274" i="4"/>
  <c r="A274" i="4"/>
  <c r="F273" i="4"/>
  <c r="D273" i="4"/>
  <c r="C273" i="4"/>
  <c r="B273" i="4"/>
  <c r="A273" i="4"/>
  <c r="F272" i="4"/>
  <c r="D272" i="4"/>
  <c r="C272" i="4"/>
  <c r="B272" i="4"/>
  <c r="A272" i="4"/>
  <c r="F271" i="4"/>
  <c r="D271" i="4"/>
  <c r="C271" i="4"/>
  <c r="B271" i="4"/>
  <c r="A271" i="4"/>
  <c r="F270" i="4"/>
  <c r="D270" i="4"/>
  <c r="C270" i="4"/>
  <c r="B270" i="4"/>
  <c r="A270" i="4"/>
  <c r="F269" i="4"/>
  <c r="D269" i="4"/>
  <c r="C269" i="4"/>
  <c r="B269" i="4"/>
  <c r="A269" i="4"/>
  <c r="F268" i="4"/>
  <c r="D268" i="4"/>
  <c r="C268" i="4"/>
  <c r="B268" i="4"/>
  <c r="A268" i="4"/>
  <c r="F267" i="4"/>
  <c r="D267" i="4"/>
  <c r="C267" i="4"/>
  <c r="B267" i="4"/>
  <c r="A267" i="4"/>
  <c r="F266" i="4"/>
  <c r="D266" i="4"/>
  <c r="C266" i="4"/>
  <c r="B266" i="4"/>
  <c r="A266" i="4"/>
  <c r="F265" i="4"/>
  <c r="D265" i="4"/>
  <c r="C265" i="4"/>
  <c r="B265" i="4"/>
  <c r="A265" i="4"/>
  <c r="F264" i="4"/>
  <c r="D264" i="4"/>
  <c r="C264" i="4"/>
  <c r="B264" i="4"/>
  <c r="A264" i="4"/>
  <c r="F263" i="4"/>
  <c r="D263" i="4"/>
  <c r="C263" i="4"/>
  <c r="B263" i="4"/>
  <c r="A263" i="4"/>
  <c r="F262" i="4"/>
  <c r="D262" i="4"/>
  <c r="C262" i="4"/>
  <c r="B262" i="4"/>
  <c r="A262" i="4"/>
  <c r="F261" i="4"/>
  <c r="D261" i="4"/>
  <c r="C261" i="4"/>
  <c r="B261" i="4"/>
  <c r="A261" i="4"/>
  <c r="F260" i="4"/>
  <c r="D260" i="4"/>
  <c r="C260" i="4"/>
  <c r="B260" i="4"/>
  <c r="A260" i="4"/>
  <c r="F259" i="4"/>
  <c r="D259" i="4"/>
  <c r="C259" i="4"/>
  <c r="B259" i="4"/>
  <c r="A259" i="4"/>
  <c r="F258" i="4"/>
  <c r="D258" i="4"/>
  <c r="C258" i="4"/>
  <c r="B258" i="4"/>
  <c r="A258" i="4"/>
  <c r="F257" i="4"/>
  <c r="D257" i="4"/>
  <c r="C257" i="4"/>
  <c r="B257" i="4"/>
  <c r="A257" i="4"/>
  <c r="F256" i="4"/>
  <c r="D256" i="4"/>
  <c r="C256" i="4"/>
  <c r="B256" i="4"/>
  <c r="A256" i="4"/>
  <c r="F255" i="4"/>
  <c r="D255" i="4"/>
  <c r="C255" i="4"/>
  <c r="B255" i="4"/>
  <c r="A255" i="4"/>
  <c r="F254" i="4"/>
  <c r="D254" i="4"/>
  <c r="C254" i="4"/>
  <c r="B254" i="4"/>
  <c r="A254" i="4"/>
  <c r="F253" i="4"/>
  <c r="D253" i="4"/>
  <c r="C253" i="4"/>
  <c r="B253" i="4"/>
  <c r="A253" i="4"/>
  <c r="F252" i="4"/>
  <c r="D252" i="4"/>
  <c r="C252" i="4"/>
  <c r="B252" i="4"/>
  <c r="A252" i="4"/>
  <c r="F251" i="4"/>
  <c r="D251" i="4"/>
  <c r="C251" i="4"/>
  <c r="B251" i="4"/>
  <c r="A251" i="4"/>
  <c r="F250" i="4"/>
  <c r="D250" i="4"/>
  <c r="C250" i="4"/>
  <c r="B250" i="4"/>
  <c r="A250" i="4"/>
  <c r="F249" i="4"/>
  <c r="D249" i="4"/>
  <c r="C249" i="4"/>
  <c r="B249" i="4"/>
  <c r="A249" i="4"/>
  <c r="F248" i="4"/>
  <c r="D248" i="4"/>
  <c r="C248" i="4"/>
  <c r="B248" i="4"/>
  <c r="A248" i="4"/>
  <c r="F247" i="4"/>
  <c r="D247" i="4"/>
  <c r="C247" i="4"/>
  <c r="B247" i="4"/>
  <c r="A247" i="4"/>
  <c r="F246" i="4"/>
  <c r="D246" i="4"/>
  <c r="C246" i="4"/>
  <c r="B246" i="4"/>
  <c r="A246" i="4"/>
  <c r="F245" i="4"/>
  <c r="D245" i="4"/>
  <c r="C245" i="4"/>
  <c r="B245" i="4"/>
  <c r="A245" i="4"/>
  <c r="F244" i="4"/>
  <c r="D244" i="4"/>
  <c r="C244" i="4"/>
  <c r="B244" i="4"/>
  <c r="A244" i="4"/>
  <c r="F243" i="4"/>
  <c r="D243" i="4"/>
  <c r="C243" i="4"/>
  <c r="B243" i="4"/>
  <c r="A243" i="4"/>
  <c r="F242" i="4"/>
  <c r="D242" i="4"/>
  <c r="C242" i="4"/>
  <c r="B242" i="4"/>
  <c r="A242" i="4"/>
  <c r="F241" i="4"/>
  <c r="D241" i="4"/>
  <c r="C241" i="4"/>
  <c r="B241" i="4"/>
  <c r="A241" i="4"/>
  <c r="F240" i="4"/>
  <c r="D240" i="4"/>
  <c r="C240" i="4"/>
  <c r="B240" i="4"/>
  <c r="A240" i="4"/>
  <c r="F239" i="4"/>
  <c r="D239" i="4"/>
  <c r="C239" i="4"/>
  <c r="B239" i="4"/>
  <c r="A239" i="4"/>
  <c r="F238" i="4"/>
  <c r="D238" i="4"/>
  <c r="C238" i="4"/>
  <c r="B238" i="4"/>
  <c r="A238" i="4"/>
  <c r="F237" i="4"/>
  <c r="D237" i="4"/>
  <c r="C237" i="4"/>
  <c r="B237" i="4"/>
  <c r="A237" i="4"/>
  <c r="F236" i="4"/>
  <c r="D236" i="4"/>
  <c r="C236" i="4"/>
  <c r="B236" i="4"/>
  <c r="A236" i="4"/>
  <c r="F235" i="4"/>
  <c r="D235" i="4"/>
  <c r="C235" i="4"/>
  <c r="B235" i="4"/>
  <c r="A235" i="4"/>
  <c r="F234" i="4"/>
  <c r="D234" i="4"/>
  <c r="C234" i="4"/>
  <c r="B234" i="4"/>
  <c r="A234" i="4"/>
  <c r="F233" i="4"/>
  <c r="D233" i="4"/>
  <c r="C233" i="4"/>
  <c r="B233" i="4"/>
  <c r="A233" i="4"/>
  <c r="F232" i="4"/>
  <c r="D232" i="4"/>
  <c r="C232" i="4"/>
  <c r="B232" i="4"/>
  <c r="A232" i="4"/>
  <c r="F231" i="4"/>
  <c r="D231" i="4"/>
  <c r="C231" i="4"/>
  <c r="B231" i="4"/>
  <c r="A231" i="4"/>
  <c r="F230" i="4"/>
  <c r="D230" i="4"/>
  <c r="C230" i="4"/>
  <c r="B230" i="4"/>
  <c r="A230" i="4"/>
  <c r="F229" i="4"/>
  <c r="D229" i="4"/>
  <c r="C229" i="4"/>
  <c r="B229" i="4"/>
  <c r="A229" i="4"/>
  <c r="F228" i="4"/>
  <c r="D228" i="4"/>
  <c r="C228" i="4"/>
  <c r="B228" i="4"/>
  <c r="A228" i="4"/>
  <c r="F227" i="4"/>
  <c r="D227" i="4"/>
  <c r="C227" i="4"/>
  <c r="B227" i="4"/>
  <c r="A227" i="4"/>
  <c r="F226" i="4"/>
  <c r="D226" i="4"/>
  <c r="C226" i="4"/>
  <c r="B226" i="4"/>
  <c r="A226" i="4"/>
  <c r="F225" i="4"/>
  <c r="D225" i="4"/>
  <c r="C225" i="4"/>
  <c r="B225" i="4"/>
  <c r="A225" i="4"/>
  <c r="F224" i="4"/>
  <c r="D224" i="4"/>
  <c r="C224" i="4"/>
  <c r="B224" i="4"/>
  <c r="A224" i="4"/>
  <c r="F223" i="4"/>
  <c r="D223" i="4"/>
  <c r="C223" i="4"/>
  <c r="B223" i="4"/>
  <c r="A223" i="4"/>
  <c r="F222" i="4"/>
  <c r="D222" i="4"/>
  <c r="C222" i="4"/>
  <c r="B222" i="4"/>
  <c r="A222" i="4"/>
  <c r="F221" i="4"/>
  <c r="D221" i="4"/>
  <c r="C221" i="4"/>
  <c r="B221" i="4"/>
  <c r="A221" i="4"/>
  <c r="F220" i="4"/>
  <c r="D220" i="4"/>
  <c r="C220" i="4"/>
  <c r="B220" i="4"/>
  <c r="A220" i="4"/>
  <c r="F219" i="4"/>
  <c r="D219" i="4"/>
  <c r="C219" i="4"/>
  <c r="B219" i="4"/>
  <c r="A219" i="4"/>
  <c r="F218" i="4"/>
  <c r="D218" i="4"/>
  <c r="C218" i="4"/>
  <c r="B218" i="4"/>
  <c r="A218" i="4"/>
  <c r="F217" i="4"/>
  <c r="D217" i="4"/>
  <c r="C217" i="4"/>
  <c r="B217" i="4"/>
  <c r="A217" i="4"/>
  <c r="F216" i="4"/>
  <c r="D216" i="4"/>
  <c r="C216" i="4"/>
  <c r="B216" i="4"/>
  <c r="A216" i="4"/>
  <c r="F215" i="4"/>
  <c r="D215" i="4"/>
  <c r="C215" i="4"/>
  <c r="B215" i="4"/>
  <c r="A215" i="4"/>
  <c r="F214" i="4"/>
  <c r="D214" i="4"/>
  <c r="C214" i="4"/>
  <c r="B214" i="4"/>
  <c r="A214" i="4"/>
  <c r="F213" i="4"/>
  <c r="D213" i="4"/>
  <c r="C213" i="4"/>
  <c r="B213" i="4"/>
  <c r="A213" i="4"/>
  <c r="F212" i="4"/>
  <c r="D212" i="4"/>
  <c r="C212" i="4"/>
  <c r="B212" i="4"/>
  <c r="A212" i="4"/>
  <c r="F211" i="4"/>
  <c r="D211" i="4"/>
  <c r="C211" i="4"/>
  <c r="B211" i="4"/>
  <c r="A211" i="4"/>
  <c r="F210" i="4"/>
  <c r="D210" i="4"/>
  <c r="C210" i="4"/>
  <c r="B210" i="4"/>
  <c r="A210" i="4"/>
  <c r="F209" i="4"/>
  <c r="D209" i="4"/>
  <c r="C209" i="4"/>
  <c r="B209" i="4"/>
  <c r="A209" i="4"/>
  <c r="F208" i="4"/>
  <c r="D208" i="4"/>
  <c r="C208" i="4"/>
  <c r="B208" i="4"/>
  <c r="A208" i="4"/>
  <c r="F207" i="4"/>
  <c r="D207" i="4"/>
  <c r="C207" i="4"/>
  <c r="B207" i="4"/>
  <c r="A207" i="4"/>
  <c r="F206" i="4"/>
  <c r="D206" i="4"/>
  <c r="C206" i="4"/>
  <c r="B206" i="4"/>
  <c r="A206" i="4"/>
  <c r="F205" i="4"/>
  <c r="D205" i="4"/>
  <c r="C205" i="4"/>
  <c r="B205" i="4"/>
  <c r="A205" i="4"/>
  <c r="F204" i="4"/>
  <c r="D204" i="4"/>
  <c r="C204" i="4"/>
  <c r="B204" i="4"/>
  <c r="A204" i="4"/>
  <c r="F203" i="4"/>
  <c r="D203" i="4"/>
  <c r="C203" i="4"/>
  <c r="B203" i="4"/>
  <c r="A203" i="4"/>
  <c r="F202" i="4"/>
  <c r="D202" i="4"/>
  <c r="C202" i="4"/>
  <c r="B202" i="4"/>
  <c r="A202" i="4"/>
  <c r="F201" i="4"/>
  <c r="D201" i="4"/>
  <c r="C201" i="4"/>
  <c r="B201" i="4"/>
  <c r="A201" i="4"/>
  <c r="F200" i="4"/>
  <c r="D200" i="4"/>
  <c r="C200" i="4"/>
  <c r="B200" i="4"/>
  <c r="A200" i="4"/>
  <c r="F199" i="4"/>
  <c r="D199" i="4"/>
  <c r="C199" i="4"/>
  <c r="B199" i="4"/>
  <c r="A199" i="4"/>
  <c r="F198" i="4"/>
  <c r="D198" i="4"/>
  <c r="C198" i="4"/>
  <c r="B198" i="4"/>
  <c r="A198" i="4"/>
  <c r="F197" i="4"/>
  <c r="D197" i="4"/>
  <c r="C197" i="4"/>
  <c r="B197" i="4"/>
  <c r="A197" i="4"/>
  <c r="F196" i="4"/>
  <c r="D196" i="4"/>
  <c r="C196" i="4"/>
  <c r="B196" i="4"/>
  <c r="A196" i="4"/>
  <c r="F195" i="4"/>
  <c r="D195" i="4"/>
  <c r="C195" i="4"/>
  <c r="B195" i="4"/>
  <c r="A195" i="4"/>
  <c r="F194" i="4"/>
  <c r="D194" i="4"/>
  <c r="C194" i="4"/>
  <c r="B194" i="4"/>
  <c r="A194" i="4"/>
  <c r="F193" i="4"/>
  <c r="D193" i="4"/>
  <c r="C193" i="4"/>
  <c r="B193" i="4"/>
  <c r="A193" i="4"/>
  <c r="F192" i="4"/>
  <c r="D192" i="4"/>
  <c r="C192" i="4"/>
  <c r="B192" i="4"/>
  <c r="A192" i="4"/>
  <c r="F191" i="4"/>
  <c r="D191" i="4"/>
  <c r="C191" i="4"/>
  <c r="B191" i="4"/>
  <c r="A191" i="4"/>
  <c r="F190" i="4"/>
  <c r="D190" i="4"/>
  <c r="C190" i="4"/>
  <c r="B190" i="4"/>
  <c r="A190" i="4"/>
  <c r="F189" i="4"/>
  <c r="D189" i="4"/>
  <c r="C189" i="4"/>
  <c r="B189" i="4"/>
  <c r="A189" i="4"/>
  <c r="F188" i="4"/>
  <c r="D188" i="4"/>
  <c r="C188" i="4"/>
  <c r="B188" i="4"/>
  <c r="A188" i="4"/>
  <c r="F187" i="4"/>
  <c r="D187" i="4"/>
  <c r="C187" i="4"/>
  <c r="B187" i="4"/>
  <c r="A187" i="4"/>
  <c r="F186" i="4"/>
  <c r="D186" i="4"/>
  <c r="C186" i="4"/>
  <c r="B186" i="4"/>
  <c r="A186" i="4"/>
  <c r="F185" i="4"/>
  <c r="D185" i="4"/>
  <c r="C185" i="4"/>
  <c r="B185" i="4"/>
  <c r="A185" i="4"/>
  <c r="F184" i="4"/>
  <c r="D184" i="4"/>
  <c r="C184" i="4"/>
  <c r="B184" i="4"/>
  <c r="A184" i="4"/>
  <c r="F183" i="4"/>
  <c r="D183" i="4"/>
  <c r="C183" i="4"/>
  <c r="B183" i="4"/>
  <c r="A183" i="4"/>
  <c r="F182" i="4"/>
  <c r="D182" i="4"/>
  <c r="C182" i="4"/>
  <c r="B182" i="4"/>
  <c r="A182" i="4"/>
  <c r="F181" i="4"/>
  <c r="D181" i="4"/>
  <c r="C181" i="4"/>
  <c r="B181" i="4"/>
  <c r="A181" i="4"/>
  <c r="F180" i="4"/>
  <c r="D180" i="4"/>
  <c r="C180" i="4"/>
  <c r="B180" i="4"/>
  <c r="A180" i="4"/>
  <c r="F179" i="4"/>
  <c r="D179" i="4"/>
  <c r="C179" i="4"/>
  <c r="B179" i="4"/>
  <c r="A179" i="4"/>
  <c r="F178" i="4"/>
  <c r="D178" i="4"/>
  <c r="C178" i="4"/>
  <c r="B178" i="4"/>
  <c r="A178" i="4"/>
  <c r="F177" i="4"/>
  <c r="D177" i="4"/>
  <c r="C177" i="4"/>
  <c r="B177" i="4"/>
  <c r="A177" i="4"/>
  <c r="F176" i="4"/>
  <c r="D176" i="4"/>
  <c r="C176" i="4"/>
  <c r="B176" i="4"/>
  <c r="A176" i="4"/>
  <c r="F175" i="4"/>
  <c r="D175" i="4"/>
  <c r="C175" i="4"/>
  <c r="B175" i="4"/>
  <c r="A175" i="4"/>
  <c r="F174" i="4"/>
  <c r="D174" i="4"/>
  <c r="C174" i="4"/>
  <c r="B174" i="4"/>
  <c r="A174" i="4"/>
  <c r="F173" i="4"/>
  <c r="D173" i="4"/>
  <c r="C173" i="4"/>
  <c r="B173" i="4"/>
  <c r="A173" i="4"/>
  <c r="F172" i="4"/>
  <c r="D172" i="4"/>
  <c r="C172" i="4"/>
  <c r="B172" i="4"/>
  <c r="A172" i="4"/>
  <c r="F171" i="4"/>
  <c r="D171" i="4"/>
  <c r="C171" i="4"/>
  <c r="B171" i="4"/>
  <c r="A171" i="4"/>
  <c r="F170" i="4"/>
  <c r="D170" i="4"/>
  <c r="C170" i="4"/>
  <c r="B170" i="4"/>
  <c r="A170" i="4"/>
  <c r="F169" i="4"/>
  <c r="D169" i="4"/>
  <c r="C169" i="4"/>
  <c r="B169" i="4"/>
  <c r="A169" i="4"/>
  <c r="F168" i="4"/>
  <c r="D168" i="4"/>
  <c r="C168" i="4"/>
  <c r="B168" i="4"/>
  <c r="A168" i="4"/>
  <c r="F167" i="4"/>
  <c r="D167" i="4"/>
  <c r="C167" i="4"/>
  <c r="B167" i="4"/>
  <c r="A167" i="4"/>
  <c r="F166" i="4"/>
  <c r="D166" i="4"/>
  <c r="C166" i="4"/>
  <c r="B166" i="4"/>
  <c r="A166" i="4"/>
  <c r="F165" i="4"/>
  <c r="D165" i="4"/>
  <c r="C165" i="4"/>
  <c r="B165" i="4"/>
  <c r="A165" i="4"/>
  <c r="F164" i="4"/>
  <c r="D164" i="4"/>
  <c r="C164" i="4"/>
  <c r="B164" i="4"/>
  <c r="A164" i="4"/>
  <c r="F163" i="4"/>
  <c r="D163" i="4"/>
  <c r="C163" i="4"/>
  <c r="B163" i="4"/>
  <c r="A163" i="4"/>
  <c r="F162" i="4"/>
  <c r="D162" i="4"/>
  <c r="C162" i="4"/>
  <c r="B162" i="4"/>
  <c r="A162" i="4"/>
  <c r="F161" i="4"/>
  <c r="D161" i="4"/>
  <c r="C161" i="4"/>
  <c r="B161" i="4"/>
  <c r="A161" i="4"/>
  <c r="F160" i="4"/>
  <c r="D160" i="4"/>
  <c r="C160" i="4"/>
  <c r="B160" i="4"/>
  <c r="A160" i="4"/>
  <c r="F159" i="4"/>
  <c r="D159" i="4"/>
  <c r="C159" i="4"/>
  <c r="B159" i="4"/>
  <c r="A159" i="4"/>
  <c r="F158" i="4"/>
  <c r="D158" i="4"/>
  <c r="C158" i="4"/>
  <c r="B158" i="4"/>
  <c r="A158" i="4"/>
  <c r="F157" i="4"/>
  <c r="D157" i="4"/>
  <c r="C157" i="4"/>
  <c r="B157" i="4"/>
  <c r="A157" i="4"/>
  <c r="F156" i="4"/>
  <c r="D156" i="4"/>
  <c r="C156" i="4"/>
  <c r="B156" i="4"/>
  <c r="A156" i="4"/>
  <c r="F155" i="4"/>
  <c r="D155" i="4"/>
  <c r="C155" i="4"/>
  <c r="B155" i="4"/>
  <c r="A155" i="4"/>
  <c r="F154" i="4"/>
  <c r="D154" i="4"/>
  <c r="C154" i="4"/>
  <c r="B154" i="4"/>
  <c r="A154" i="4"/>
  <c r="F153" i="4"/>
  <c r="D153" i="4"/>
  <c r="C153" i="4"/>
  <c r="B153" i="4"/>
  <c r="A153" i="4"/>
  <c r="F152" i="4"/>
  <c r="D152" i="4"/>
  <c r="C152" i="4"/>
  <c r="B152" i="4"/>
  <c r="A152" i="4"/>
  <c r="F151" i="4"/>
  <c r="D151" i="4"/>
  <c r="C151" i="4"/>
  <c r="B151" i="4"/>
  <c r="A151" i="4"/>
  <c r="F150" i="4"/>
  <c r="D150" i="4"/>
  <c r="C150" i="4"/>
  <c r="B150" i="4"/>
  <c r="A150" i="4"/>
  <c r="F149" i="4"/>
  <c r="D149" i="4"/>
  <c r="C149" i="4"/>
  <c r="B149" i="4"/>
  <c r="A149" i="4"/>
  <c r="F148" i="4"/>
  <c r="D148" i="4"/>
  <c r="C148" i="4"/>
  <c r="B148" i="4"/>
  <c r="A148" i="4"/>
  <c r="F147" i="4"/>
  <c r="D147" i="4"/>
  <c r="C147" i="4"/>
  <c r="B147" i="4"/>
  <c r="A147" i="4"/>
  <c r="F146" i="4"/>
  <c r="D146" i="4"/>
  <c r="C146" i="4"/>
  <c r="B146" i="4"/>
  <c r="A146" i="4"/>
  <c r="F145" i="4"/>
  <c r="D145" i="4"/>
  <c r="C145" i="4"/>
  <c r="B145" i="4"/>
  <c r="A145" i="4"/>
  <c r="F144" i="4"/>
  <c r="D144" i="4"/>
  <c r="C144" i="4"/>
  <c r="B144" i="4"/>
  <c r="A144" i="4"/>
  <c r="F143" i="4"/>
  <c r="D143" i="4"/>
  <c r="C143" i="4"/>
  <c r="B143" i="4"/>
  <c r="A143" i="4"/>
  <c r="F142" i="4"/>
  <c r="D142" i="4"/>
  <c r="C142" i="4"/>
  <c r="B142" i="4"/>
  <c r="A142" i="4"/>
  <c r="F141" i="4"/>
  <c r="D141" i="4"/>
  <c r="C141" i="4"/>
  <c r="B141" i="4"/>
  <c r="A141" i="4"/>
  <c r="F140" i="4"/>
  <c r="D140" i="4"/>
  <c r="C140" i="4"/>
  <c r="B140" i="4"/>
  <c r="A140" i="4"/>
  <c r="F139" i="4"/>
  <c r="D139" i="4"/>
  <c r="C139" i="4"/>
  <c r="B139" i="4"/>
  <c r="A139" i="4"/>
  <c r="F138" i="4"/>
  <c r="D138" i="4"/>
  <c r="C138" i="4"/>
  <c r="B138" i="4"/>
  <c r="A138" i="4"/>
  <c r="F137" i="4"/>
  <c r="D137" i="4"/>
  <c r="C137" i="4"/>
  <c r="B137" i="4"/>
  <c r="A137" i="4"/>
  <c r="F136" i="4"/>
  <c r="D136" i="4"/>
  <c r="C136" i="4"/>
  <c r="B136" i="4"/>
  <c r="A136" i="4"/>
  <c r="F135" i="4"/>
  <c r="D135" i="4"/>
  <c r="C135" i="4"/>
  <c r="B135" i="4"/>
  <c r="A135" i="4"/>
  <c r="F134" i="4"/>
  <c r="D134" i="4"/>
  <c r="C134" i="4"/>
  <c r="B134" i="4"/>
  <c r="A134" i="4"/>
  <c r="F133" i="4"/>
  <c r="D133" i="4"/>
  <c r="C133" i="4"/>
  <c r="B133" i="4"/>
  <c r="A133" i="4"/>
  <c r="F132" i="4"/>
  <c r="D132" i="4"/>
  <c r="C132" i="4"/>
  <c r="B132" i="4"/>
  <c r="A132" i="4"/>
  <c r="F131" i="4"/>
  <c r="D131" i="4"/>
  <c r="C131" i="4"/>
  <c r="B131" i="4"/>
  <c r="A131" i="4"/>
  <c r="F130" i="4"/>
  <c r="D130" i="4"/>
  <c r="C130" i="4"/>
  <c r="B130" i="4"/>
  <c r="A130" i="4"/>
  <c r="F129" i="4"/>
  <c r="D129" i="4"/>
  <c r="C129" i="4"/>
  <c r="B129" i="4"/>
  <c r="A129" i="4"/>
  <c r="F128" i="4"/>
  <c r="D128" i="4"/>
  <c r="C128" i="4"/>
  <c r="B128" i="4"/>
  <c r="A128" i="4"/>
  <c r="F127" i="4"/>
  <c r="D127" i="4"/>
  <c r="C127" i="4"/>
  <c r="B127" i="4"/>
  <c r="A127" i="4"/>
  <c r="F126" i="4"/>
  <c r="D126" i="4"/>
  <c r="C126" i="4"/>
  <c r="B126" i="4"/>
  <c r="A126" i="4"/>
  <c r="F125" i="4"/>
  <c r="D125" i="4"/>
  <c r="C125" i="4"/>
  <c r="B125" i="4"/>
  <c r="A125" i="4"/>
  <c r="F124" i="4"/>
  <c r="D124" i="4"/>
  <c r="C124" i="4"/>
  <c r="B124" i="4"/>
  <c r="A124" i="4"/>
  <c r="F123" i="4"/>
  <c r="D123" i="4"/>
  <c r="C123" i="4"/>
  <c r="B123" i="4"/>
  <c r="A123" i="4"/>
  <c r="F122" i="4"/>
  <c r="D122" i="4"/>
  <c r="C122" i="4"/>
  <c r="B122" i="4"/>
  <c r="A122" i="4"/>
  <c r="F121" i="4"/>
  <c r="D121" i="4"/>
  <c r="C121" i="4"/>
  <c r="B121" i="4"/>
  <c r="A121" i="4"/>
  <c r="F120" i="4"/>
  <c r="D120" i="4"/>
  <c r="C120" i="4"/>
  <c r="B120" i="4"/>
  <c r="A120" i="4"/>
  <c r="F119" i="4"/>
  <c r="D119" i="4"/>
  <c r="C119" i="4"/>
  <c r="B119" i="4"/>
  <c r="A119" i="4"/>
  <c r="F118" i="4"/>
  <c r="D118" i="4"/>
  <c r="C118" i="4"/>
  <c r="B118" i="4"/>
  <c r="A118" i="4"/>
  <c r="F117" i="4"/>
  <c r="D117" i="4"/>
  <c r="C117" i="4"/>
  <c r="B117" i="4"/>
  <c r="A117" i="4"/>
  <c r="F116" i="4"/>
  <c r="D116" i="4"/>
  <c r="C116" i="4"/>
  <c r="B116" i="4"/>
  <c r="A116" i="4"/>
  <c r="F115" i="4"/>
  <c r="D115" i="4"/>
  <c r="C115" i="4"/>
  <c r="B115" i="4"/>
  <c r="A115" i="4"/>
  <c r="F114" i="4"/>
  <c r="D114" i="4"/>
  <c r="C114" i="4"/>
  <c r="B114" i="4"/>
  <c r="A114" i="4"/>
  <c r="F113" i="4"/>
  <c r="D113" i="4"/>
  <c r="C113" i="4"/>
  <c r="B113" i="4"/>
  <c r="A113" i="4"/>
  <c r="F112" i="4"/>
  <c r="D112" i="4"/>
  <c r="C112" i="4"/>
  <c r="B112" i="4"/>
  <c r="A112" i="4"/>
  <c r="F111" i="4"/>
  <c r="D111" i="4"/>
  <c r="C111" i="4"/>
  <c r="B111" i="4"/>
  <c r="A111" i="4"/>
  <c r="F110" i="4"/>
  <c r="D110" i="4"/>
  <c r="C110" i="4"/>
  <c r="B110" i="4"/>
  <c r="A110" i="4"/>
  <c r="F109" i="4"/>
  <c r="D109" i="4"/>
  <c r="C109" i="4"/>
  <c r="B109" i="4"/>
  <c r="A109" i="4"/>
  <c r="F108" i="4"/>
  <c r="D108" i="4"/>
  <c r="C108" i="4"/>
  <c r="B108" i="4"/>
  <c r="A108" i="4"/>
  <c r="F107" i="4"/>
  <c r="D107" i="4"/>
  <c r="C107" i="4"/>
  <c r="B107" i="4"/>
  <c r="A107" i="4"/>
  <c r="F106" i="4"/>
  <c r="D106" i="4"/>
  <c r="C106" i="4"/>
  <c r="B106" i="4"/>
  <c r="A106" i="4"/>
  <c r="F105" i="4"/>
  <c r="D105" i="4"/>
  <c r="C105" i="4"/>
  <c r="B105" i="4"/>
  <c r="A105" i="4"/>
  <c r="F104" i="4"/>
  <c r="D104" i="4"/>
  <c r="C104" i="4"/>
  <c r="B104" i="4"/>
  <c r="A104" i="4"/>
  <c r="F103" i="4"/>
  <c r="D103" i="4"/>
  <c r="C103" i="4"/>
  <c r="B103" i="4"/>
  <c r="A103" i="4"/>
  <c r="F102" i="4"/>
  <c r="D102" i="4"/>
  <c r="C102" i="4"/>
  <c r="B102" i="4"/>
  <c r="A102" i="4"/>
  <c r="F101" i="4"/>
  <c r="D101" i="4"/>
  <c r="C101" i="4"/>
  <c r="B101" i="4"/>
  <c r="A101" i="4"/>
  <c r="F100" i="4"/>
  <c r="D100" i="4"/>
  <c r="C100" i="4"/>
  <c r="B100" i="4"/>
  <c r="A100" i="4"/>
  <c r="F99" i="4"/>
  <c r="D99" i="4"/>
  <c r="C99" i="4"/>
  <c r="B99" i="4"/>
  <c r="A99" i="4"/>
  <c r="F98" i="4"/>
  <c r="D98" i="4"/>
  <c r="C98" i="4"/>
  <c r="B98" i="4"/>
  <c r="A98" i="4"/>
  <c r="F97" i="4"/>
  <c r="D97" i="4"/>
  <c r="C97" i="4"/>
  <c r="B97" i="4"/>
  <c r="A97" i="4"/>
  <c r="F96" i="4"/>
  <c r="D96" i="4"/>
  <c r="C96" i="4"/>
  <c r="B96" i="4"/>
  <c r="A96" i="4"/>
  <c r="F95" i="4"/>
  <c r="D95" i="4"/>
  <c r="C95" i="4"/>
  <c r="B95" i="4"/>
  <c r="A95" i="4"/>
  <c r="F94" i="4"/>
  <c r="D94" i="4"/>
  <c r="C94" i="4"/>
  <c r="B94" i="4"/>
  <c r="A94" i="4"/>
  <c r="F93" i="4"/>
  <c r="D93" i="4"/>
  <c r="C93" i="4"/>
  <c r="B93" i="4"/>
  <c r="A93" i="4"/>
  <c r="F92" i="4"/>
  <c r="D92" i="4"/>
  <c r="C92" i="4"/>
  <c r="B92" i="4"/>
  <c r="A92" i="4"/>
  <c r="F91" i="4"/>
  <c r="D91" i="4"/>
  <c r="C91" i="4"/>
  <c r="B91" i="4"/>
  <c r="A91" i="4"/>
  <c r="F90" i="4"/>
  <c r="D90" i="4"/>
  <c r="C90" i="4"/>
  <c r="B90" i="4"/>
  <c r="A90" i="4"/>
  <c r="F89" i="4"/>
  <c r="D89" i="4"/>
  <c r="C89" i="4"/>
  <c r="B89" i="4"/>
  <c r="A89" i="4"/>
  <c r="F88" i="4"/>
  <c r="D88" i="4"/>
  <c r="C88" i="4"/>
  <c r="B88" i="4"/>
  <c r="A88" i="4"/>
  <c r="F87" i="4"/>
  <c r="D87" i="4"/>
  <c r="C87" i="4"/>
  <c r="B87" i="4"/>
  <c r="A87" i="4"/>
  <c r="F86" i="4"/>
  <c r="D86" i="4"/>
  <c r="C86" i="4"/>
  <c r="B86" i="4"/>
  <c r="A86" i="4"/>
  <c r="F85" i="4"/>
  <c r="D85" i="4"/>
  <c r="C85" i="4"/>
  <c r="B85" i="4"/>
  <c r="A85" i="4"/>
  <c r="F84" i="4"/>
  <c r="D84" i="4"/>
  <c r="C84" i="4"/>
  <c r="B84" i="4"/>
  <c r="A84" i="4"/>
  <c r="F83" i="4"/>
  <c r="D83" i="4"/>
  <c r="C83" i="4"/>
  <c r="B83" i="4"/>
  <c r="A83" i="4"/>
  <c r="F82" i="4"/>
  <c r="D82" i="4"/>
  <c r="C82" i="4"/>
  <c r="B82" i="4"/>
  <c r="A82" i="4"/>
  <c r="F81" i="4"/>
  <c r="D81" i="4"/>
  <c r="C81" i="4"/>
  <c r="B81" i="4"/>
  <c r="A81" i="4"/>
  <c r="F80" i="4"/>
  <c r="D80" i="4"/>
  <c r="C80" i="4"/>
  <c r="B80" i="4"/>
  <c r="A80" i="4"/>
  <c r="F79" i="4"/>
  <c r="D79" i="4"/>
  <c r="C79" i="4"/>
  <c r="B79" i="4"/>
  <c r="A79" i="4"/>
  <c r="F78" i="4"/>
  <c r="D78" i="4"/>
  <c r="C78" i="4"/>
  <c r="B78" i="4"/>
  <c r="A78" i="4"/>
  <c r="F77" i="4"/>
  <c r="D77" i="4"/>
  <c r="C77" i="4"/>
  <c r="B77" i="4"/>
  <c r="A77" i="4"/>
  <c r="F76" i="4"/>
  <c r="D76" i="4"/>
  <c r="C76" i="4"/>
  <c r="B76" i="4"/>
  <c r="A76" i="4"/>
  <c r="F75" i="4"/>
  <c r="D75" i="4"/>
  <c r="C75" i="4"/>
  <c r="B75" i="4"/>
  <c r="A75" i="4"/>
  <c r="F74" i="4"/>
  <c r="D74" i="4"/>
  <c r="C74" i="4"/>
  <c r="B74" i="4"/>
  <c r="A74" i="4"/>
  <c r="F73" i="4"/>
  <c r="D73" i="4"/>
  <c r="C73" i="4"/>
  <c r="B73" i="4"/>
  <c r="A73" i="4"/>
  <c r="F72" i="4"/>
  <c r="D72" i="4"/>
  <c r="C72" i="4"/>
  <c r="B72" i="4"/>
  <c r="A72" i="4"/>
  <c r="F71" i="4"/>
  <c r="D71" i="4"/>
  <c r="C71" i="4"/>
  <c r="B71" i="4"/>
  <c r="A71" i="4"/>
  <c r="F70" i="4"/>
  <c r="D70" i="4"/>
  <c r="C70" i="4"/>
  <c r="B70" i="4"/>
  <c r="A70" i="4"/>
  <c r="F69" i="4"/>
  <c r="D69" i="4"/>
  <c r="C69" i="4"/>
  <c r="B69" i="4"/>
  <c r="A69" i="4"/>
  <c r="F68" i="4"/>
  <c r="D68" i="4"/>
  <c r="C68" i="4"/>
  <c r="B68" i="4"/>
  <c r="A68" i="4"/>
  <c r="F67" i="4"/>
  <c r="D67" i="4"/>
  <c r="C67" i="4"/>
  <c r="B67" i="4"/>
  <c r="A67" i="4"/>
  <c r="F66" i="4"/>
  <c r="D66" i="4"/>
  <c r="C66" i="4"/>
  <c r="B66" i="4"/>
  <c r="A66" i="4"/>
  <c r="F65" i="4"/>
  <c r="D65" i="4"/>
  <c r="C65" i="4"/>
  <c r="B65" i="4"/>
  <c r="A65" i="4"/>
  <c r="F64" i="4"/>
  <c r="D64" i="4"/>
  <c r="C64" i="4"/>
  <c r="B64" i="4"/>
  <c r="A64" i="4"/>
  <c r="F63" i="4"/>
  <c r="D63" i="4"/>
  <c r="C63" i="4"/>
  <c r="B63" i="4"/>
  <c r="A63" i="4"/>
  <c r="F62" i="4"/>
  <c r="D62" i="4"/>
  <c r="C62" i="4"/>
  <c r="B62" i="4"/>
  <c r="A62" i="4"/>
  <c r="F61" i="4"/>
  <c r="D61" i="4"/>
  <c r="C61" i="4"/>
  <c r="B61" i="4"/>
  <c r="A61" i="4"/>
  <c r="F60" i="4"/>
  <c r="D60" i="4"/>
  <c r="C60" i="4"/>
  <c r="B60" i="4"/>
  <c r="A60" i="4"/>
  <c r="F59" i="4"/>
  <c r="D59" i="4"/>
  <c r="C59" i="4"/>
  <c r="B59" i="4"/>
  <c r="A59" i="4"/>
  <c r="F58" i="4"/>
  <c r="D58" i="4"/>
  <c r="C58" i="4"/>
  <c r="B58" i="4"/>
  <c r="A58" i="4"/>
  <c r="F57" i="4"/>
  <c r="D57" i="4"/>
  <c r="C57" i="4"/>
  <c r="B57" i="4"/>
  <c r="A57" i="4"/>
  <c r="F56" i="4"/>
  <c r="D56" i="4"/>
  <c r="C56" i="4"/>
  <c r="B56" i="4"/>
  <c r="A56" i="4"/>
  <c r="F55" i="4"/>
  <c r="D55" i="4"/>
  <c r="C55" i="4"/>
  <c r="B55" i="4"/>
  <c r="A55" i="4"/>
  <c r="F54" i="4"/>
  <c r="D54" i="4"/>
  <c r="C54" i="4"/>
  <c r="B54" i="4"/>
  <c r="A54" i="4"/>
  <c r="F53" i="4"/>
  <c r="D53" i="4"/>
  <c r="C53" i="4"/>
  <c r="B53" i="4"/>
  <c r="A53" i="4"/>
  <c r="F52" i="4"/>
  <c r="D52" i="4"/>
  <c r="C52" i="4"/>
  <c r="B52" i="4"/>
  <c r="A52" i="4"/>
  <c r="F51" i="4"/>
  <c r="D51" i="4"/>
  <c r="C51" i="4"/>
  <c r="B51" i="4"/>
  <c r="A51" i="4"/>
  <c r="F50" i="4"/>
  <c r="D50" i="4"/>
  <c r="C50" i="4"/>
  <c r="B50" i="4"/>
  <c r="A50" i="4"/>
  <c r="F49" i="4"/>
  <c r="D49" i="4"/>
  <c r="C49" i="4"/>
  <c r="B49" i="4"/>
  <c r="A49" i="4"/>
  <c r="F48" i="4"/>
  <c r="D48" i="4"/>
  <c r="C48" i="4"/>
  <c r="B48" i="4"/>
  <c r="A48" i="4"/>
  <c r="F47" i="4"/>
  <c r="D47" i="4"/>
  <c r="C47" i="4"/>
  <c r="B47" i="4"/>
  <c r="A47" i="4"/>
  <c r="F46" i="4"/>
  <c r="D46" i="4"/>
  <c r="C46" i="4"/>
  <c r="B46" i="4"/>
  <c r="A46" i="4"/>
  <c r="F45" i="4"/>
  <c r="D45" i="4"/>
  <c r="C45" i="4"/>
  <c r="B45" i="4"/>
  <c r="A45" i="4"/>
  <c r="F44" i="4"/>
  <c r="D44" i="4"/>
  <c r="C44" i="4"/>
  <c r="B44" i="4"/>
  <c r="A44" i="4"/>
  <c r="F43" i="4"/>
  <c r="D43" i="4"/>
  <c r="C43" i="4"/>
  <c r="B43" i="4"/>
  <c r="A43" i="4"/>
  <c r="F42" i="4"/>
  <c r="D42" i="4"/>
  <c r="C42" i="4"/>
  <c r="B42" i="4"/>
  <c r="A42" i="4"/>
  <c r="F41" i="4"/>
  <c r="D41" i="4"/>
  <c r="C41" i="4"/>
  <c r="B41" i="4"/>
  <c r="A41" i="4"/>
  <c r="F40" i="4"/>
  <c r="D40" i="4"/>
  <c r="C40" i="4"/>
  <c r="B40" i="4"/>
  <c r="A40" i="4"/>
  <c r="F39" i="4"/>
  <c r="D39" i="4"/>
  <c r="C39" i="4"/>
  <c r="B39" i="4"/>
  <c r="A39" i="4"/>
  <c r="F38" i="4"/>
  <c r="D38" i="4"/>
  <c r="C38" i="4"/>
  <c r="B38" i="4"/>
  <c r="A38" i="4"/>
  <c r="F37" i="4"/>
  <c r="D37" i="4"/>
  <c r="C37" i="4"/>
  <c r="B37" i="4"/>
  <c r="A37" i="4"/>
  <c r="F36" i="4"/>
  <c r="D36" i="4"/>
  <c r="C36" i="4"/>
  <c r="B36" i="4"/>
  <c r="A36" i="4"/>
  <c r="F35" i="4"/>
  <c r="D35" i="4"/>
  <c r="C35" i="4"/>
  <c r="B35" i="4"/>
  <c r="A35" i="4"/>
  <c r="F34" i="4"/>
  <c r="D34" i="4"/>
  <c r="C34" i="4"/>
  <c r="B34" i="4"/>
  <c r="A34" i="4"/>
  <c r="F33" i="4"/>
  <c r="D33" i="4"/>
  <c r="C33" i="4"/>
  <c r="B33" i="4"/>
  <c r="A33" i="4"/>
  <c r="F32" i="4"/>
  <c r="D32" i="4"/>
  <c r="C32" i="4"/>
  <c r="B32" i="4"/>
  <c r="A32" i="4"/>
  <c r="F31" i="4"/>
  <c r="D31" i="4"/>
  <c r="B31" i="4"/>
  <c r="A31" i="4"/>
  <c r="F30" i="4"/>
  <c r="D30" i="4"/>
  <c r="C30" i="4"/>
  <c r="B30" i="4"/>
  <c r="A30" i="4"/>
  <c r="F29" i="4"/>
  <c r="D29" i="4"/>
  <c r="C29" i="4"/>
  <c r="B29" i="4"/>
  <c r="A29" i="4"/>
  <c r="F28" i="4"/>
  <c r="D28" i="4"/>
  <c r="C28" i="4"/>
  <c r="B28" i="4"/>
  <c r="A28" i="4"/>
  <c r="F27" i="4"/>
  <c r="D27" i="4"/>
  <c r="C27" i="4"/>
  <c r="B27" i="4"/>
  <c r="A27" i="4"/>
  <c r="F26" i="4"/>
  <c r="D26" i="4"/>
  <c r="C26" i="4"/>
  <c r="B26" i="4"/>
  <c r="A26" i="4"/>
  <c r="F25" i="4"/>
  <c r="D25" i="4"/>
  <c r="C25" i="4"/>
  <c r="B25" i="4"/>
  <c r="A25" i="4"/>
  <c r="F24" i="4"/>
  <c r="D24" i="4"/>
  <c r="C24" i="4"/>
  <c r="B24" i="4"/>
  <c r="A24" i="4"/>
  <c r="F23" i="4"/>
  <c r="D23" i="4"/>
  <c r="C23" i="4"/>
  <c r="B23" i="4"/>
  <c r="A23" i="4"/>
  <c r="F22" i="4"/>
  <c r="D22" i="4"/>
  <c r="C22" i="4"/>
  <c r="B22" i="4"/>
  <c r="A22" i="4"/>
  <c r="F21" i="4"/>
  <c r="D21" i="4"/>
  <c r="C21" i="4"/>
  <c r="B21" i="4"/>
  <c r="A21" i="4"/>
  <c r="F20" i="4"/>
  <c r="D20" i="4"/>
  <c r="C20" i="4"/>
  <c r="B20" i="4"/>
  <c r="A20" i="4"/>
  <c r="F19" i="4"/>
  <c r="D19" i="4"/>
  <c r="C19" i="4"/>
  <c r="B19" i="4"/>
  <c r="A19" i="4"/>
  <c r="F18" i="4"/>
  <c r="D18" i="4"/>
  <c r="C18" i="4"/>
  <c r="B18" i="4"/>
  <c r="A18" i="4"/>
  <c r="F17" i="4"/>
  <c r="D17" i="4"/>
  <c r="C17" i="4"/>
  <c r="B17" i="4"/>
  <c r="A17" i="4"/>
  <c r="F16" i="4"/>
  <c r="D16" i="4"/>
  <c r="C16" i="4"/>
  <c r="B16" i="4"/>
  <c r="A16" i="4"/>
  <c r="F15" i="4"/>
  <c r="D15" i="4"/>
  <c r="C15" i="4"/>
  <c r="B15" i="4"/>
  <c r="A15" i="4"/>
  <c r="F14" i="4"/>
  <c r="D14" i="4"/>
  <c r="C14" i="4"/>
  <c r="B14" i="4"/>
  <c r="A14" i="4"/>
  <c r="F13" i="4"/>
  <c r="D13" i="4"/>
  <c r="C13" i="4"/>
  <c r="B13" i="4"/>
  <c r="A13" i="4"/>
  <c r="F12" i="4"/>
  <c r="D12" i="4"/>
  <c r="C12" i="4"/>
  <c r="B12" i="4"/>
  <c r="A12" i="4"/>
  <c r="F11" i="4"/>
  <c r="D11" i="4"/>
  <c r="C11" i="4"/>
  <c r="B11" i="4"/>
  <c r="A11" i="4"/>
  <c r="F10" i="4"/>
  <c r="B10" i="4"/>
  <c r="A10" i="4"/>
  <c r="F9" i="4"/>
  <c r="D9" i="4"/>
  <c r="C9" i="4"/>
  <c r="B9" i="4"/>
  <c r="A9" i="4"/>
  <c r="F8" i="4"/>
  <c r="D8" i="4"/>
  <c r="C8" i="4"/>
  <c r="B8" i="4"/>
  <c r="A8" i="4"/>
  <c r="F7" i="4"/>
  <c r="B7" i="4"/>
  <c r="A7" i="4"/>
  <c r="F6" i="4"/>
  <c r="B6" i="4"/>
  <c r="A6" i="4"/>
  <c r="F5" i="4"/>
  <c r="F4" i="4"/>
  <c r="D4" i="4"/>
  <c r="B4" i="4"/>
  <c r="A4" i="4"/>
  <c r="F3" i="4"/>
  <c r="D3" i="4"/>
  <c r="C3" i="4"/>
  <c r="B3" i="4"/>
  <c r="A3" i="4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B3" i="17"/>
  <c r="A3" i="17"/>
  <c r="D3" i="25"/>
  <c r="Q41" i="14" l="1"/>
  <c r="Q70" i="14"/>
  <c r="Q49" i="14"/>
  <c r="Q5" i="14"/>
  <c r="Q58" i="14"/>
  <c r="Q32" i="14"/>
  <c r="H29" i="31"/>
  <c r="H31" i="31"/>
  <c r="H8" i="31"/>
  <c r="H30" i="31"/>
  <c r="H32" i="31"/>
  <c r="H19" i="31"/>
  <c r="V21" i="31"/>
  <c r="V32" i="31"/>
  <c r="V8" i="31"/>
  <c r="H21" i="31"/>
  <c r="H20" i="31"/>
  <c r="V20" i="31"/>
  <c r="V31" i="31"/>
  <c r="V10" i="31"/>
  <c r="V19" i="31"/>
  <c r="V30" i="31"/>
  <c r="V9" i="31"/>
  <c r="H18" i="31"/>
  <c r="V18" i="31"/>
  <c r="V29" i="31"/>
  <c r="V7" i="31"/>
  <c r="Q11" i="31"/>
  <c r="Q22" i="31"/>
  <c r="Q33" i="31"/>
  <c r="H10" i="31"/>
  <c r="H9" i="31"/>
  <c r="H7" i="31"/>
  <c r="U43" i="13"/>
  <c r="E43" i="13"/>
  <c r="G42" i="13"/>
  <c r="I40" i="13"/>
  <c r="K39" i="13"/>
  <c r="M38" i="13"/>
  <c r="O37" i="13"/>
  <c r="Q36" i="13"/>
  <c r="S35" i="13"/>
  <c r="U34" i="13"/>
  <c r="E34" i="13"/>
  <c r="G29" i="13"/>
  <c r="I28" i="13"/>
  <c r="K26" i="13"/>
  <c r="M25" i="13"/>
  <c r="O21" i="13"/>
  <c r="Q17" i="13"/>
  <c r="S14" i="13"/>
  <c r="U10" i="13"/>
  <c r="E10" i="13"/>
  <c r="G9" i="13"/>
  <c r="H28" i="13"/>
  <c r="H43" i="13"/>
  <c r="J42" i="13"/>
  <c r="L40" i="13"/>
  <c r="N39" i="13"/>
  <c r="P38" i="13"/>
  <c r="R37" i="13"/>
  <c r="T36" i="13"/>
  <c r="D36" i="13"/>
  <c r="F35" i="13"/>
  <c r="H34" i="13"/>
  <c r="T28" i="13"/>
  <c r="O43" i="13"/>
  <c r="Q42" i="13"/>
  <c r="S40" i="13"/>
  <c r="U39" i="13"/>
  <c r="E39" i="13"/>
  <c r="G38" i="13"/>
  <c r="I37" i="13"/>
  <c r="K36" i="13"/>
  <c r="M35" i="13"/>
  <c r="O34" i="13"/>
  <c r="Q29" i="13"/>
  <c r="S28" i="13"/>
  <c r="U26" i="13"/>
  <c r="T42" i="13"/>
  <c r="J38" i="13"/>
  <c r="R34" i="13"/>
  <c r="N26" i="13"/>
  <c r="J25" i="13"/>
  <c r="F21" i="13"/>
  <c r="U14" i="13"/>
  <c r="Q43" i="13"/>
  <c r="S42" i="13"/>
  <c r="U40" i="13"/>
  <c r="E40" i="13"/>
  <c r="G39" i="13"/>
  <c r="I38" i="13"/>
  <c r="K37" i="13"/>
  <c r="M36" i="13"/>
  <c r="O35" i="13"/>
  <c r="Q34" i="13"/>
  <c r="S29" i="13"/>
  <c r="U28" i="13"/>
  <c r="E28" i="13"/>
  <c r="G26" i="13"/>
  <c r="I25" i="13"/>
  <c r="K21" i="13"/>
  <c r="M17" i="13"/>
  <c r="O14" i="13"/>
  <c r="Q10" i="13"/>
  <c r="S9" i="13"/>
  <c r="D34" i="13"/>
  <c r="T43" i="13"/>
  <c r="D43" i="13"/>
  <c r="F42" i="13"/>
  <c r="H40" i="13"/>
  <c r="J39" i="13"/>
  <c r="L38" i="13"/>
  <c r="M43" i="13"/>
  <c r="O42" i="13"/>
  <c r="Q40" i="13"/>
  <c r="S39" i="13"/>
  <c r="U38" i="13"/>
  <c r="E38" i="13"/>
  <c r="G37" i="13"/>
  <c r="I36" i="13"/>
  <c r="K35" i="13"/>
  <c r="M34" i="13"/>
  <c r="O29" i="13"/>
  <c r="Q28" i="13"/>
  <c r="S26" i="13"/>
  <c r="U25" i="13"/>
  <c r="E25" i="13"/>
  <c r="G21" i="13"/>
  <c r="I17" i="13"/>
  <c r="K14" i="13"/>
  <c r="M10" i="13"/>
  <c r="O9" i="13"/>
  <c r="F29" i="13"/>
  <c r="P43" i="13"/>
  <c r="R42" i="13"/>
  <c r="T40" i="13"/>
  <c r="D40" i="13"/>
  <c r="F39" i="13"/>
  <c r="H38" i="13"/>
  <c r="J37" i="13"/>
  <c r="L36" i="13"/>
  <c r="N35" i="13"/>
  <c r="P34" i="13"/>
  <c r="N29" i="13"/>
  <c r="D28" i="13"/>
  <c r="G43" i="13"/>
  <c r="I42" i="13"/>
  <c r="K40" i="13"/>
  <c r="M39" i="13"/>
  <c r="O38" i="13"/>
  <c r="Q37" i="13"/>
  <c r="S36" i="13"/>
  <c r="U35" i="13"/>
  <c r="E35" i="13"/>
  <c r="G34" i="13"/>
  <c r="I29" i="13"/>
  <c r="K28" i="13"/>
  <c r="M26" i="13"/>
  <c r="F40" i="13"/>
  <c r="N36" i="13"/>
  <c r="D29" i="13"/>
  <c r="T25" i="13"/>
  <c r="Q21" i="13"/>
  <c r="N17" i="13"/>
  <c r="J14" i="13"/>
  <c r="G10" i="13"/>
  <c r="D9" i="13"/>
  <c r="P37" i="13"/>
  <c r="F25" i="13"/>
  <c r="P42" i="13"/>
  <c r="F38" i="13"/>
  <c r="N34" i="13"/>
  <c r="L26" i="13"/>
  <c r="H25" i="13"/>
  <c r="E21" i="13"/>
  <c r="T14" i="13"/>
  <c r="P10" i="13"/>
  <c r="M9" i="13"/>
  <c r="N40" i="13"/>
  <c r="D37" i="13"/>
  <c r="L29" i="13"/>
  <c r="E26" i="13"/>
  <c r="T21" i="13"/>
  <c r="P17" i="13"/>
  <c r="H14" i="13"/>
  <c r="L9" i="13"/>
  <c r="J40" i="13"/>
  <c r="T35" i="13"/>
  <c r="I26" i="13"/>
  <c r="M21" i="13"/>
  <c r="Q14" i="13"/>
  <c r="L14" i="13"/>
  <c r="U9" i="13"/>
  <c r="M63" i="13"/>
  <c r="O62" i="13"/>
  <c r="Q60" i="13"/>
  <c r="S59" i="13"/>
  <c r="I43" i="13"/>
  <c r="Q38" i="13"/>
  <c r="G35" i="13"/>
  <c r="O26" i="13"/>
  <c r="E17" i="13"/>
  <c r="P28" i="13"/>
  <c r="R39" i="13"/>
  <c r="F37" i="13"/>
  <c r="J35" i="13"/>
  <c r="J29" i="13"/>
  <c r="U42" i="13"/>
  <c r="G40" i="13"/>
  <c r="K38" i="13"/>
  <c r="O36" i="13"/>
  <c r="S34" i="13"/>
  <c r="E29" i="13"/>
  <c r="R43" i="13"/>
  <c r="P35" i="13"/>
  <c r="O25" i="13"/>
  <c r="H17" i="13"/>
  <c r="L10" i="13"/>
  <c r="R14" i="13"/>
  <c r="J28" i="13"/>
  <c r="N43" i="13"/>
  <c r="H37" i="13"/>
  <c r="R28" i="13"/>
  <c r="N25" i="13"/>
  <c r="R17" i="13"/>
  <c r="I14" i="13"/>
  <c r="R9" i="13"/>
  <c r="P39" i="13"/>
  <c r="H35" i="13"/>
  <c r="J26" i="13"/>
  <c r="N21" i="13"/>
  <c r="F17" i="13"/>
  <c r="Q9" i="13"/>
  <c r="L39" i="13"/>
  <c r="H29" i="13"/>
  <c r="R21" i="13"/>
  <c r="N10" i="13"/>
  <c r="E9" i="13"/>
  <c r="Q63" i="13"/>
  <c r="K62" i="13"/>
  <c r="I60" i="13"/>
  <c r="G59" i="13"/>
  <c r="I58" i="13"/>
  <c r="K57" i="13"/>
  <c r="M56" i="13"/>
  <c r="O52" i="13"/>
  <c r="Q48" i="13"/>
  <c r="O63" i="13"/>
  <c r="I62" i="13"/>
  <c r="E59" i="13"/>
  <c r="E57" i="13"/>
  <c r="Q52" i="13"/>
  <c r="G48" i="13"/>
  <c r="L62" i="13"/>
  <c r="P59" i="13"/>
  <c r="J58" i="13"/>
  <c r="N56" i="13"/>
  <c r="R48" i="13"/>
  <c r="L63" i="13"/>
  <c r="N62" i="13"/>
  <c r="P60" i="13"/>
  <c r="R59" i="13"/>
  <c r="T58" i="13"/>
  <c r="D58" i="13"/>
  <c r="F57" i="13"/>
  <c r="H56" i="13"/>
  <c r="J52" i="13"/>
  <c r="L48" i="13"/>
  <c r="U62" i="13"/>
  <c r="K60" i="13"/>
  <c r="O58" i="13"/>
  <c r="I57" i="13"/>
  <c r="E52" i="13"/>
  <c r="T62" i="13"/>
  <c r="T59" i="13"/>
  <c r="T57" i="13"/>
  <c r="P52" i="13"/>
  <c r="J48" i="13"/>
  <c r="D25" i="13"/>
  <c r="T9" i="13"/>
  <c r="D26" i="13"/>
  <c r="J36" i="13"/>
  <c r="K42" i="13"/>
  <c r="S37" i="13"/>
  <c r="I34" i="13"/>
  <c r="Q25" i="13"/>
  <c r="G14" i="13"/>
  <c r="L43" i="13"/>
  <c r="T38" i="13"/>
  <c r="P36" i="13"/>
  <c r="T34" i="13"/>
  <c r="L28" i="13"/>
  <c r="M42" i="13"/>
  <c r="Q39" i="13"/>
  <c r="U37" i="13"/>
  <c r="G36" i="13"/>
  <c r="K34" i="13"/>
  <c r="O28" i="13"/>
  <c r="D42" i="13"/>
  <c r="T29" i="13"/>
  <c r="P14" i="13"/>
  <c r="T10" i="13"/>
  <c r="R40" i="13"/>
  <c r="T26" i="13"/>
  <c r="M40" i="13"/>
  <c r="U36" i="13"/>
  <c r="K29" i="13"/>
  <c r="S21" i="13"/>
  <c r="I10" i="13"/>
  <c r="N42" i="13"/>
  <c r="D38" i="13"/>
  <c r="H36" i="13"/>
  <c r="L34" i="13"/>
  <c r="S43" i="13"/>
  <c r="E42" i="13"/>
  <c r="I39" i="13"/>
  <c r="M37" i="13"/>
  <c r="Q35" i="13"/>
  <c r="U29" i="13"/>
  <c r="G28" i="13"/>
  <c r="H39" i="13"/>
  <c r="F28" i="13"/>
  <c r="L21" i="13"/>
  <c r="E14" i="13"/>
  <c r="N9" i="13"/>
  <c r="J10" i="13"/>
  <c r="H21" i="13"/>
  <c r="T39" i="13"/>
  <c r="L35" i="13"/>
  <c r="F26" i="13"/>
  <c r="P21" i="13"/>
  <c r="G17" i="13"/>
  <c r="K10" i="13"/>
  <c r="J43" i="13"/>
  <c r="T37" i="13"/>
  <c r="N28" i="13"/>
  <c r="L25" i="13"/>
  <c r="D21" i="13"/>
  <c r="O10" i="13"/>
  <c r="F43" i="13"/>
  <c r="R36" i="13"/>
  <c r="P25" i="13"/>
  <c r="O17" i="13"/>
  <c r="P9" i="13"/>
  <c r="S10" i="13"/>
  <c r="E63" i="13"/>
  <c r="U60" i="13"/>
  <c r="O59" i="13"/>
  <c r="Q58" i="13"/>
  <c r="S57" i="13"/>
  <c r="U56" i="13"/>
  <c r="E56" i="13"/>
  <c r="G52" i="13"/>
  <c r="I48" i="13"/>
  <c r="G63" i="13"/>
  <c r="U59" i="13"/>
  <c r="U57" i="13"/>
  <c r="K56" i="13"/>
  <c r="O48" i="13"/>
  <c r="J63" i="13"/>
  <c r="N60" i="13"/>
  <c r="D59" i="13"/>
  <c r="L57" i="13"/>
  <c r="T52" i="13"/>
  <c r="T63" i="13"/>
  <c r="D63" i="13"/>
  <c r="F62" i="13"/>
  <c r="H60" i="13"/>
  <c r="J59" i="13"/>
  <c r="L58" i="13"/>
  <c r="N57" i="13"/>
  <c r="P56" i="13"/>
  <c r="R52" i="13"/>
  <c r="T48" i="13"/>
  <c r="D48" i="13"/>
  <c r="E62" i="13"/>
  <c r="Q59" i="13"/>
  <c r="G58" i="13"/>
  <c r="U52" i="13"/>
  <c r="R63" i="13"/>
  <c r="R60" i="13"/>
  <c r="N58" i="13"/>
  <c r="R56" i="13"/>
  <c r="D52" i="13"/>
  <c r="O39" i="13"/>
  <c r="E36" i="13"/>
  <c r="M28" i="13"/>
  <c r="U17" i="13"/>
  <c r="K9" i="13"/>
  <c r="P40" i="13"/>
  <c r="N37" i="13"/>
  <c r="R35" i="13"/>
  <c r="R29" i="13"/>
  <c r="K43" i="13"/>
  <c r="O40" i="13"/>
  <c r="R38" i="13"/>
  <c r="N38" i="13"/>
  <c r="F14" i="13"/>
  <c r="U58" i="13"/>
  <c r="K63" i="13"/>
  <c r="I52" i="13"/>
  <c r="P57" i="13"/>
  <c r="J62" i="13"/>
  <c r="R57" i="13"/>
  <c r="H48" i="13"/>
  <c r="S56" i="13"/>
  <c r="H57" i="13"/>
  <c r="M57" i="13"/>
  <c r="F60" i="13"/>
  <c r="T60" i="13"/>
  <c r="N52" i="13"/>
  <c r="M52" i="13"/>
  <c r="S38" i="13"/>
  <c r="Q26" i="13"/>
  <c r="R10" i="13"/>
  <c r="D39" i="13"/>
  <c r="J21" i="13"/>
  <c r="F10" i="13"/>
  <c r="F36" i="13"/>
  <c r="G25" i="13"/>
  <c r="D10" i="13"/>
  <c r="D35" i="13"/>
  <c r="D17" i="13"/>
  <c r="U63" i="13"/>
  <c r="M60" i="13"/>
  <c r="M58" i="13"/>
  <c r="Q56" i="13"/>
  <c r="Q62" i="13"/>
  <c r="D57" i="13"/>
  <c r="F59" i="13"/>
  <c r="S63" i="13"/>
  <c r="J60" i="13"/>
  <c r="E37" i="13"/>
  <c r="L37" i="13"/>
  <c r="I9" i="13"/>
  <c r="P29" i="13"/>
  <c r="L17" i="13"/>
  <c r="H9" i="13"/>
  <c r="J34" i="13"/>
  <c r="I21" i="13"/>
  <c r="F9" i="13"/>
  <c r="P26" i="13"/>
  <c r="J9" i="13"/>
  <c r="I63" i="13"/>
  <c r="E60" i="13"/>
  <c r="E58" i="13"/>
  <c r="I56" i="13"/>
  <c r="M48" i="13"/>
  <c r="S60" i="13"/>
  <c r="O56" i="13"/>
  <c r="N63" i="13"/>
  <c r="L59" i="13"/>
  <c r="F56" i="13"/>
  <c r="H63" i="13"/>
  <c r="L60" i="13"/>
  <c r="P58" i="13"/>
  <c r="T56" i="13"/>
  <c r="F52" i="13"/>
  <c r="M62" i="13"/>
  <c r="K58" i="13"/>
  <c r="S48" i="13"/>
  <c r="H59" i="13"/>
  <c r="L52" i="13"/>
  <c r="I35" i="13"/>
  <c r="H26" i="13"/>
  <c r="F34" i="13"/>
  <c r="S25" i="13"/>
  <c r="N14" i="13"/>
  <c r="L42" i="13"/>
  <c r="R26" i="13"/>
  <c r="K17" i="13"/>
  <c r="H42" i="13"/>
  <c r="K25" i="13"/>
  <c r="H10" i="13"/>
  <c r="S62" i="13"/>
  <c r="K59" i="13"/>
  <c r="O57" i="13"/>
  <c r="S52" i="13"/>
  <c r="E48" i="13"/>
  <c r="M59" i="13"/>
  <c r="G56" i="13"/>
  <c r="P62" i="13"/>
  <c r="R58" i="13"/>
  <c r="H52" i="13"/>
  <c r="R62" i="13"/>
  <c r="D60" i="13"/>
  <c r="H58" i="13"/>
  <c r="L56" i="13"/>
  <c r="P48" i="13"/>
  <c r="O60" i="13"/>
  <c r="Q57" i="13"/>
  <c r="F63" i="13"/>
  <c r="F58" i="13"/>
  <c r="N48" i="13"/>
  <c r="M29" i="13"/>
  <c r="S17" i="13"/>
  <c r="J17" i="13"/>
  <c r="U21" i="13"/>
  <c r="D14" i="13"/>
  <c r="R25" i="13"/>
  <c r="M14" i="13"/>
  <c r="T17" i="13"/>
  <c r="G62" i="13"/>
  <c r="G57" i="13"/>
  <c r="K52" i="13"/>
  <c r="S58" i="13"/>
  <c r="D62" i="13"/>
  <c r="F48" i="13"/>
  <c r="N59" i="13"/>
  <c r="D56" i="13"/>
  <c r="G60" i="13"/>
  <c r="H62" i="13"/>
  <c r="U48" i="13"/>
  <c r="K48" i="13"/>
  <c r="P63" i="13"/>
  <c r="J57" i="13"/>
  <c r="I59" i="13"/>
  <c r="J56" i="13"/>
  <c r="U61" i="13" l="1"/>
  <c r="F41" i="13"/>
  <c r="K41" i="13"/>
  <c r="P61" i="13"/>
  <c r="S61" i="13"/>
  <c r="L61" i="13"/>
  <c r="S41" i="13"/>
  <c r="N41" i="13"/>
  <c r="H41" i="13"/>
  <c r="E61" i="13"/>
  <c r="J41" i="13"/>
  <c r="D61" i="13"/>
  <c r="O61" i="13"/>
  <c r="T41" i="13"/>
  <c r="Q61" i="13"/>
  <c r="G41" i="13"/>
  <c r="P41" i="13"/>
  <c r="Q41" i="13"/>
  <c r="O41" i="13"/>
  <c r="E41" i="13"/>
  <c r="F61" i="13"/>
  <c r="M61" i="13"/>
  <c r="K61" i="13"/>
  <c r="N61" i="13"/>
  <c r="T61" i="13"/>
  <c r="I61" i="13"/>
  <c r="J61" i="13"/>
  <c r="R61" i="13"/>
  <c r="M41" i="13"/>
  <c r="D41" i="13"/>
  <c r="U41" i="13"/>
  <c r="H61" i="13"/>
  <c r="L41" i="13"/>
  <c r="I41" i="13"/>
  <c r="G61" i="13"/>
  <c r="R41" i="13"/>
  <c r="V17" i="31"/>
  <c r="V28" i="31"/>
  <c r="V6" i="31"/>
  <c r="B3" i="25"/>
  <c r="F3" i="17"/>
  <c r="V57" i="14" l="1"/>
  <c r="O57" i="14" l="1"/>
  <c r="E21" i="32" s="1"/>
  <c r="E29" i="32"/>
  <c r="E28" i="32" s="1"/>
  <c r="E31" i="32"/>
  <c r="E30" i="32" s="1"/>
  <c r="P57" i="14"/>
  <c r="T57" i="14"/>
  <c r="G57" i="14"/>
  <c r="L57" i="14"/>
  <c r="E27" i="32" l="1"/>
  <c r="P40" i="14"/>
  <c r="E22" i="32"/>
  <c r="E12" i="32"/>
  <c r="E18" i="32"/>
  <c r="O40" i="14"/>
  <c r="D21" i="32" l="1"/>
  <c r="D22" i="32"/>
  <c r="P27" i="13" l="1"/>
  <c r="G27" i="13"/>
  <c r="G64" i="13"/>
  <c r="K27" i="13"/>
  <c r="R27" i="13"/>
  <c r="O27" i="13"/>
  <c r="G30" i="13"/>
  <c r="K30" i="13"/>
  <c r="K64" i="13"/>
  <c r="O44" i="13"/>
  <c r="P30" i="13"/>
  <c r="P64" i="13"/>
  <c r="G44" i="13"/>
  <c r="K44" i="13"/>
  <c r="K33" i="13" s="1"/>
  <c r="O64" i="13"/>
  <c r="P44" i="13"/>
  <c r="O30" i="13"/>
  <c r="R44" i="13"/>
  <c r="R64" i="13"/>
  <c r="R30" i="13"/>
  <c r="K8" i="13" l="1"/>
  <c r="R33" i="13"/>
  <c r="O33" i="13"/>
  <c r="O47" i="13"/>
  <c r="K47" i="13"/>
  <c r="G33" i="13"/>
  <c r="R47" i="13"/>
  <c r="P8" i="13"/>
  <c r="G8" i="13"/>
  <c r="G47" i="13"/>
  <c r="P33" i="13"/>
  <c r="P47" i="13"/>
  <c r="O8" i="13"/>
  <c r="R8" i="13"/>
  <c r="S496" i="25"/>
  <c r="R496" i="25"/>
  <c r="S495" i="25"/>
  <c r="R495" i="25"/>
  <c r="S494" i="25"/>
  <c r="R494" i="25"/>
  <c r="S493" i="25"/>
  <c r="R493" i="25"/>
  <c r="S492" i="25"/>
  <c r="R492" i="25"/>
  <c r="S491" i="25"/>
  <c r="R491" i="25"/>
  <c r="S490" i="25"/>
  <c r="R490" i="25"/>
  <c r="S489" i="25"/>
  <c r="R489" i="25"/>
  <c r="S488" i="25"/>
  <c r="R488" i="25"/>
  <c r="S487" i="25"/>
  <c r="R487" i="25"/>
  <c r="S486" i="25"/>
  <c r="R486" i="25"/>
  <c r="S485" i="25"/>
  <c r="R485" i="25"/>
  <c r="S484" i="25"/>
  <c r="R484" i="25"/>
  <c r="S483" i="25"/>
  <c r="R483" i="25"/>
  <c r="S482" i="25"/>
  <c r="R482" i="25"/>
  <c r="S481" i="25"/>
  <c r="R481" i="25"/>
  <c r="S480" i="25"/>
  <c r="R480" i="25"/>
  <c r="S479" i="25"/>
  <c r="R479" i="25"/>
  <c r="S478" i="25"/>
  <c r="R478" i="25"/>
  <c r="S477" i="25"/>
  <c r="R477" i="25"/>
  <c r="S476" i="25"/>
  <c r="R476" i="25"/>
  <c r="S475" i="25"/>
  <c r="R475" i="25"/>
  <c r="S474" i="25"/>
  <c r="R474" i="25"/>
  <c r="S473" i="25"/>
  <c r="R473" i="25"/>
  <c r="S472" i="25"/>
  <c r="R472" i="25"/>
  <c r="S471" i="25"/>
  <c r="R471" i="25"/>
  <c r="S470" i="25"/>
  <c r="R470" i="25"/>
  <c r="S469" i="25"/>
  <c r="R469" i="25"/>
  <c r="S468" i="25"/>
  <c r="R468" i="25"/>
  <c r="S467" i="25"/>
  <c r="R467" i="25"/>
  <c r="S466" i="25"/>
  <c r="R466" i="25"/>
  <c r="S465" i="25"/>
  <c r="R465" i="25"/>
  <c r="S464" i="25"/>
  <c r="R464" i="25"/>
  <c r="S463" i="25"/>
  <c r="R463" i="25"/>
  <c r="S462" i="25"/>
  <c r="R462" i="25"/>
  <c r="S461" i="25"/>
  <c r="R461" i="25"/>
  <c r="S460" i="25"/>
  <c r="R460" i="25"/>
  <c r="S459" i="25"/>
  <c r="R459" i="25"/>
  <c r="S458" i="25"/>
  <c r="R458" i="25"/>
  <c r="S457" i="25"/>
  <c r="R457" i="25"/>
  <c r="S456" i="25"/>
  <c r="R456" i="25"/>
  <c r="S455" i="25"/>
  <c r="R455" i="25"/>
  <c r="S454" i="25"/>
  <c r="R454" i="25"/>
  <c r="S453" i="25"/>
  <c r="R453" i="25"/>
  <c r="S452" i="25"/>
  <c r="R452" i="25"/>
  <c r="S451" i="25"/>
  <c r="R451" i="25"/>
  <c r="S450" i="25"/>
  <c r="R450" i="25"/>
  <c r="S449" i="25"/>
  <c r="R449" i="25"/>
  <c r="S448" i="25"/>
  <c r="R448" i="25"/>
  <c r="S447" i="25"/>
  <c r="R447" i="25"/>
  <c r="S446" i="25"/>
  <c r="R446" i="25"/>
  <c r="S445" i="25"/>
  <c r="R445" i="25"/>
  <c r="S444" i="25"/>
  <c r="R444" i="25"/>
  <c r="S443" i="25"/>
  <c r="R443" i="25"/>
  <c r="S442" i="25"/>
  <c r="R442" i="25"/>
  <c r="S441" i="25"/>
  <c r="R441" i="25"/>
  <c r="S440" i="25"/>
  <c r="R440" i="25"/>
  <c r="S439" i="25"/>
  <c r="R439" i="25"/>
  <c r="S438" i="25"/>
  <c r="R438" i="25"/>
  <c r="S437" i="25"/>
  <c r="R437" i="25"/>
  <c r="S436" i="25"/>
  <c r="R436" i="25"/>
  <c r="S435" i="25"/>
  <c r="R435" i="25"/>
  <c r="S434" i="25"/>
  <c r="R434" i="25"/>
  <c r="S433" i="25"/>
  <c r="R433" i="25"/>
  <c r="S432" i="25"/>
  <c r="R432" i="25"/>
  <c r="S431" i="25"/>
  <c r="R431" i="25"/>
  <c r="S430" i="25"/>
  <c r="R430" i="25"/>
  <c r="S429" i="25"/>
  <c r="R429" i="25"/>
  <c r="S428" i="25"/>
  <c r="R428" i="25"/>
  <c r="S427" i="25"/>
  <c r="R427" i="25"/>
  <c r="S426" i="25"/>
  <c r="R426" i="25"/>
  <c r="S425" i="25"/>
  <c r="R425" i="25"/>
  <c r="S424" i="25"/>
  <c r="R424" i="25"/>
  <c r="S423" i="25"/>
  <c r="R423" i="25"/>
  <c r="S422" i="25"/>
  <c r="R422" i="25"/>
  <c r="S421" i="25"/>
  <c r="R421" i="25"/>
  <c r="S420" i="25"/>
  <c r="R420" i="25"/>
  <c r="S419" i="25"/>
  <c r="R419" i="25"/>
  <c r="S418" i="25"/>
  <c r="R418" i="25"/>
  <c r="S417" i="25"/>
  <c r="R417" i="25"/>
  <c r="S416" i="25"/>
  <c r="R416" i="25"/>
  <c r="S415" i="25"/>
  <c r="R415" i="25"/>
  <c r="S414" i="25"/>
  <c r="R414" i="25"/>
  <c r="S413" i="25"/>
  <c r="R413" i="25"/>
  <c r="S412" i="25"/>
  <c r="R412" i="25"/>
  <c r="S411" i="25"/>
  <c r="R411" i="25"/>
  <c r="S410" i="25"/>
  <c r="R410" i="25"/>
  <c r="S409" i="25"/>
  <c r="R409" i="25"/>
  <c r="S408" i="25"/>
  <c r="R408" i="25"/>
  <c r="S407" i="25"/>
  <c r="R407" i="25"/>
  <c r="S406" i="25"/>
  <c r="R406" i="25"/>
  <c r="S405" i="25"/>
  <c r="R405" i="25"/>
  <c r="S404" i="25"/>
  <c r="R404" i="25"/>
  <c r="S403" i="25"/>
  <c r="R403" i="25"/>
  <c r="S402" i="25"/>
  <c r="R402" i="25"/>
  <c r="S401" i="25"/>
  <c r="R401" i="25"/>
  <c r="S400" i="25"/>
  <c r="R400" i="25"/>
  <c r="S399" i="25"/>
  <c r="R399" i="25"/>
  <c r="S398" i="25"/>
  <c r="R398" i="25"/>
  <c r="S397" i="25"/>
  <c r="R397" i="25"/>
  <c r="S396" i="25"/>
  <c r="R396" i="25"/>
  <c r="S395" i="25"/>
  <c r="R395" i="25"/>
  <c r="S394" i="25"/>
  <c r="R394" i="25"/>
  <c r="S393" i="25"/>
  <c r="R393" i="25"/>
  <c r="S392" i="25"/>
  <c r="R392" i="25"/>
  <c r="S391" i="25"/>
  <c r="R391" i="25"/>
  <c r="S390" i="25"/>
  <c r="R390" i="25"/>
  <c r="S389" i="25"/>
  <c r="R389" i="25"/>
  <c r="S388" i="25"/>
  <c r="R388" i="25"/>
  <c r="S387" i="25"/>
  <c r="R387" i="25"/>
  <c r="S386" i="25"/>
  <c r="R386" i="25"/>
  <c r="S385" i="25"/>
  <c r="R385" i="25"/>
  <c r="S384" i="25"/>
  <c r="R384" i="25"/>
  <c r="S383" i="25"/>
  <c r="R383" i="25"/>
  <c r="S382" i="25"/>
  <c r="R382" i="25"/>
  <c r="S381" i="25"/>
  <c r="R381" i="25"/>
  <c r="S380" i="25"/>
  <c r="R380" i="25"/>
  <c r="S379" i="25"/>
  <c r="R379" i="25"/>
  <c r="S378" i="25"/>
  <c r="R378" i="25"/>
  <c r="S377" i="25"/>
  <c r="R377" i="25"/>
  <c r="S376" i="25"/>
  <c r="R376" i="25"/>
  <c r="S375" i="25"/>
  <c r="R375" i="25"/>
  <c r="S374" i="25"/>
  <c r="R374" i="25"/>
  <c r="S373" i="25"/>
  <c r="R373" i="25"/>
  <c r="S372" i="25"/>
  <c r="R372" i="25"/>
  <c r="S371" i="25"/>
  <c r="R371" i="25"/>
  <c r="S370" i="25"/>
  <c r="R370" i="25"/>
  <c r="S369" i="25"/>
  <c r="R369" i="25"/>
  <c r="S368" i="25"/>
  <c r="R368" i="25"/>
  <c r="S367" i="25"/>
  <c r="R367" i="25"/>
  <c r="S366" i="25"/>
  <c r="R366" i="25"/>
  <c r="S365" i="25"/>
  <c r="R365" i="25"/>
  <c r="S364" i="25"/>
  <c r="R364" i="25"/>
  <c r="S363" i="25"/>
  <c r="R363" i="25"/>
  <c r="S362" i="25"/>
  <c r="R362" i="25"/>
  <c r="S361" i="25"/>
  <c r="R361" i="25"/>
  <c r="S360" i="25"/>
  <c r="R360" i="25"/>
  <c r="S359" i="25"/>
  <c r="R359" i="25"/>
  <c r="S358" i="25"/>
  <c r="R358" i="25"/>
  <c r="S357" i="25"/>
  <c r="R357" i="25"/>
  <c r="S356" i="25"/>
  <c r="R356" i="25"/>
  <c r="S355" i="25"/>
  <c r="R355" i="25"/>
  <c r="S354" i="25"/>
  <c r="R354" i="25"/>
  <c r="S353" i="25"/>
  <c r="R353" i="25"/>
  <c r="S352" i="25"/>
  <c r="R352" i="25"/>
  <c r="S351" i="25"/>
  <c r="R351" i="25"/>
  <c r="S350" i="25"/>
  <c r="R350" i="25"/>
  <c r="S349" i="25"/>
  <c r="R349" i="25"/>
  <c r="S348" i="25"/>
  <c r="R348" i="25"/>
  <c r="S347" i="25"/>
  <c r="R347" i="25"/>
  <c r="S346" i="25"/>
  <c r="R346" i="25"/>
  <c r="S345" i="25"/>
  <c r="R345" i="25"/>
  <c r="S344" i="25"/>
  <c r="R344" i="25"/>
  <c r="S343" i="25"/>
  <c r="R343" i="25"/>
  <c r="S342" i="25"/>
  <c r="R342" i="25"/>
  <c r="S341" i="25"/>
  <c r="R341" i="25"/>
  <c r="S340" i="25"/>
  <c r="R340" i="25"/>
  <c r="S339" i="25"/>
  <c r="R339" i="25"/>
  <c r="S338" i="25"/>
  <c r="R338" i="25"/>
  <c r="S337" i="25"/>
  <c r="R337" i="25"/>
  <c r="S336" i="25"/>
  <c r="R336" i="25"/>
  <c r="S335" i="25"/>
  <c r="R335" i="25"/>
  <c r="S334" i="25"/>
  <c r="R334" i="25"/>
  <c r="S333" i="25"/>
  <c r="R333" i="25"/>
  <c r="S332" i="25"/>
  <c r="R332" i="25"/>
  <c r="S331" i="25"/>
  <c r="R331" i="25"/>
  <c r="S330" i="25"/>
  <c r="R330" i="25"/>
  <c r="S329" i="25"/>
  <c r="R329" i="25"/>
  <c r="S328" i="25"/>
  <c r="R328" i="25"/>
  <c r="S327" i="25"/>
  <c r="R327" i="25"/>
  <c r="S326" i="25"/>
  <c r="R326" i="25"/>
  <c r="S325" i="25"/>
  <c r="R325" i="25"/>
  <c r="S324" i="25"/>
  <c r="R324" i="25"/>
  <c r="S323" i="25"/>
  <c r="R323" i="25"/>
  <c r="S322" i="25"/>
  <c r="R322" i="25"/>
  <c r="S321" i="25"/>
  <c r="R321" i="25"/>
  <c r="S320" i="25"/>
  <c r="R320" i="25"/>
  <c r="S319" i="25"/>
  <c r="R319" i="25"/>
  <c r="S318" i="25"/>
  <c r="R318" i="25"/>
  <c r="S317" i="25"/>
  <c r="R317" i="25"/>
  <c r="S316" i="25"/>
  <c r="R316" i="25"/>
  <c r="S315" i="25"/>
  <c r="R315" i="25"/>
  <c r="S314" i="25"/>
  <c r="R314" i="25"/>
  <c r="S313" i="25"/>
  <c r="R313" i="25"/>
  <c r="S312" i="25"/>
  <c r="R312" i="25"/>
  <c r="S311" i="25"/>
  <c r="R311" i="25"/>
  <c r="S310" i="25"/>
  <c r="R310" i="25"/>
  <c r="S309" i="25"/>
  <c r="R309" i="25"/>
  <c r="S308" i="25"/>
  <c r="R308" i="25"/>
  <c r="S307" i="25"/>
  <c r="R307" i="25"/>
  <c r="S306" i="25"/>
  <c r="R306" i="25"/>
  <c r="S305" i="25"/>
  <c r="R305" i="25"/>
  <c r="S304" i="25"/>
  <c r="R304" i="25"/>
  <c r="S303" i="25"/>
  <c r="R303" i="25"/>
  <c r="S302" i="25"/>
  <c r="R302" i="25"/>
  <c r="S301" i="25"/>
  <c r="R301" i="25"/>
  <c r="S300" i="25"/>
  <c r="R300" i="25"/>
  <c r="S299" i="25"/>
  <c r="R299" i="25"/>
  <c r="S298" i="25"/>
  <c r="R298" i="25"/>
  <c r="S297" i="25"/>
  <c r="R297" i="25"/>
  <c r="S296" i="25"/>
  <c r="R296" i="25"/>
  <c r="S295" i="25"/>
  <c r="R295" i="25"/>
  <c r="S294" i="25"/>
  <c r="R294" i="25"/>
  <c r="S293" i="25"/>
  <c r="R293" i="25"/>
  <c r="S292" i="25"/>
  <c r="R292" i="25"/>
  <c r="S291" i="25"/>
  <c r="R291" i="25"/>
  <c r="S290" i="25"/>
  <c r="R290" i="25"/>
  <c r="S289" i="25"/>
  <c r="R289" i="25"/>
  <c r="S288" i="25"/>
  <c r="R288" i="25"/>
  <c r="S287" i="25"/>
  <c r="R287" i="25"/>
  <c r="S286" i="25"/>
  <c r="R286" i="25"/>
  <c r="S285" i="25"/>
  <c r="R285" i="25"/>
  <c r="S284" i="25"/>
  <c r="R284" i="25"/>
  <c r="S283" i="25"/>
  <c r="R283" i="25"/>
  <c r="S282" i="25"/>
  <c r="R282" i="25"/>
  <c r="S281" i="25"/>
  <c r="R281" i="25"/>
  <c r="S280" i="25"/>
  <c r="R280" i="25"/>
  <c r="S279" i="25"/>
  <c r="R279" i="25"/>
  <c r="S278" i="25"/>
  <c r="R278" i="25"/>
  <c r="S277" i="25"/>
  <c r="R277" i="25"/>
  <c r="S276" i="25"/>
  <c r="R276" i="25"/>
  <c r="S275" i="25"/>
  <c r="R275" i="25"/>
  <c r="S274" i="25"/>
  <c r="R274" i="25"/>
  <c r="S273" i="25"/>
  <c r="R273" i="25"/>
  <c r="S272" i="25"/>
  <c r="R272" i="25"/>
  <c r="S271" i="25"/>
  <c r="R271" i="25"/>
  <c r="S270" i="25"/>
  <c r="R270" i="25"/>
  <c r="S269" i="25"/>
  <c r="R269" i="25"/>
  <c r="S268" i="25"/>
  <c r="R268" i="25"/>
  <c r="S267" i="25"/>
  <c r="R267" i="25"/>
  <c r="S266" i="25"/>
  <c r="R266" i="25"/>
  <c r="S265" i="25"/>
  <c r="R265" i="25"/>
  <c r="S264" i="25"/>
  <c r="R264" i="25"/>
  <c r="S263" i="25"/>
  <c r="R263" i="25"/>
  <c r="S262" i="25"/>
  <c r="R262" i="25"/>
  <c r="S261" i="25"/>
  <c r="R261" i="25"/>
  <c r="S260" i="25"/>
  <c r="R260" i="25"/>
  <c r="S259" i="25"/>
  <c r="R259" i="25"/>
  <c r="S258" i="25"/>
  <c r="R258" i="25"/>
  <c r="S257" i="25"/>
  <c r="R257" i="25"/>
  <c r="S256" i="25"/>
  <c r="R256" i="25"/>
  <c r="S255" i="25"/>
  <c r="R255" i="25"/>
  <c r="S254" i="25"/>
  <c r="R254" i="25"/>
  <c r="S253" i="25"/>
  <c r="R253" i="25"/>
  <c r="S252" i="25"/>
  <c r="R252" i="25"/>
  <c r="S251" i="25"/>
  <c r="R251" i="25"/>
  <c r="S250" i="25"/>
  <c r="R250" i="25"/>
  <c r="S249" i="25"/>
  <c r="R249" i="25"/>
  <c r="S248" i="25"/>
  <c r="R248" i="25"/>
  <c r="S247" i="25"/>
  <c r="R247" i="25"/>
  <c r="S246" i="25"/>
  <c r="R246" i="25"/>
  <c r="S245" i="25"/>
  <c r="R245" i="25"/>
  <c r="S244" i="25"/>
  <c r="R244" i="25"/>
  <c r="S243" i="25"/>
  <c r="R243" i="25"/>
  <c r="S242" i="25"/>
  <c r="R242" i="25"/>
  <c r="S241" i="25"/>
  <c r="R241" i="25"/>
  <c r="S240" i="25"/>
  <c r="R240" i="25"/>
  <c r="S239" i="25"/>
  <c r="R239" i="25"/>
  <c r="S238" i="25"/>
  <c r="R238" i="25"/>
  <c r="S237" i="25"/>
  <c r="R237" i="25"/>
  <c r="S236" i="25"/>
  <c r="R236" i="25"/>
  <c r="S235" i="25"/>
  <c r="R235" i="25"/>
  <c r="S234" i="25"/>
  <c r="R234" i="25"/>
  <c r="S233" i="25"/>
  <c r="R233" i="25"/>
  <c r="S232" i="25"/>
  <c r="R232" i="25"/>
  <c r="S231" i="25"/>
  <c r="R231" i="25"/>
  <c r="S230" i="25"/>
  <c r="R230" i="25"/>
  <c r="S229" i="25"/>
  <c r="R229" i="25"/>
  <c r="S228" i="25"/>
  <c r="R228" i="25"/>
  <c r="S227" i="25"/>
  <c r="R227" i="25"/>
  <c r="S226" i="25"/>
  <c r="R226" i="25"/>
  <c r="S225" i="25"/>
  <c r="R225" i="25"/>
  <c r="S224" i="25"/>
  <c r="R224" i="25"/>
  <c r="S223" i="25"/>
  <c r="R223" i="25"/>
  <c r="S222" i="25"/>
  <c r="R222" i="25"/>
  <c r="S221" i="25"/>
  <c r="R221" i="25"/>
  <c r="S220" i="25"/>
  <c r="R220" i="25"/>
  <c r="S219" i="25"/>
  <c r="R219" i="25"/>
  <c r="S218" i="25"/>
  <c r="R218" i="25"/>
  <c r="S217" i="25"/>
  <c r="R217" i="25"/>
  <c r="S216" i="25"/>
  <c r="R216" i="25"/>
  <c r="S215" i="25"/>
  <c r="R215" i="25"/>
  <c r="S214" i="25"/>
  <c r="R214" i="25"/>
  <c r="S213" i="25"/>
  <c r="R213" i="25"/>
  <c r="S212" i="25"/>
  <c r="R212" i="25"/>
  <c r="S211" i="25"/>
  <c r="R211" i="25"/>
  <c r="S210" i="25"/>
  <c r="R210" i="25"/>
  <c r="S209" i="25"/>
  <c r="R209" i="25"/>
  <c r="S208" i="25"/>
  <c r="R208" i="25"/>
  <c r="S207" i="25"/>
  <c r="R207" i="25"/>
  <c r="S206" i="25"/>
  <c r="R206" i="25"/>
  <c r="S205" i="25"/>
  <c r="R205" i="25"/>
  <c r="S204" i="25"/>
  <c r="R204" i="25"/>
  <c r="S203" i="25"/>
  <c r="R203" i="25"/>
  <c r="S202" i="25"/>
  <c r="R202" i="25"/>
  <c r="S201" i="25"/>
  <c r="R201" i="25"/>
  <c r="S200" i="25"/>
  <c r="R200" i="25"/>
  <c r="S199" i="25"/>
  <c r="R199" i="25"/>
  <c r="S198" i="25"/>
  <c r="R198" i="25"/>
  <c r="S197" i="25"/>
  <c r="R197" i="25"/>
  <c r="S196" i="25"/>
  <c r="R196" i="25"/>
  <c r="S195" i="25"/>
  <c r="R195" i="25"/>
  <c r="S194" i="25"/>
  <c r="R194" i="25"/>
  <c r="S193" i="25"/>
  <c r="R193" i="25"/>
  <c r="S192" i="25"/>
  <c r="R192" i="25"/>
  <c r="S191" i="25"/>
  <c r="R191" i="25"/>
  <c r="S190" i="25"/>
  <c r="R190" i="25"/>
  <c r="S189" i="25"/>
  <c r="R189" i="25"/>
  <c r="S188" i="25"/>
  <c r="R188" i="25"/>
  <c r="S187" i="25"/>
  <c r="R187" i="25"/>
  <c r="S186" i="25"/>
  <c r="R186" i="25"/>
  <c r="S185" i="25"/>
  <c r="R185" i="25"/>
  <c r="S184" i="25"/>
  <c r="R184" i="25"/>
  <c r="S183" i="25"/>
  <c r="R183" i="25"/>
  <c r="S182" i="25"/>
  <c r="R182" i="25"/>
  <c r="S181" i="25"/>
  <c r="R181" i="25"/>
  <c r="S180" i="25"/>
  <c r="R180" i="25"/>
  <c r="S179" i="25"/>
  <c r="R179" i="25"/>
  <c r="S178" i="25"/>
  <c r="R178" i="25"/>
  <c r="S177" i="25"/>
  <c r="R177" i="25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S129" i="25"/>
  <c r="R129" i="25"/>
  <c r="S128" i="25"/>
  <c r="R128" i="25"/>
  <c r="S127" i="25"/>
  <c r="R127" i="25"/>
  <c r="S126" i="25"/>
  <c r="R126" i="25"/>
  <c r="S125" i="25"/>
  <c r="R125" i="25"/>
  <c r="AB124" i="25"/>
  <c r="AA124" i="25"/>
  <c r="S124" i="25"/>
  <c r="R124" i="25"/>
  <c r="AB123" i="25"/>
  <c r="AA123" i="25"/>
  <c r="S123" i="25"/>
  <c r="R123" i="25"/>
  <c r="AB122" i="25"/>
  <c r="AA122" i="25"/>
  <c r="S122" i="25"/>
  <c r="R122" i="25"/>
  <c r="AB121" i="25"/>
  <c r="AA121" i="25"/>
  <c r="S121" i="25"/>
  <c r="R121" i="25"/>
  <c r="AB120" i="25"/>
  <c r="AA120" i="25"/>
  <c r="S120" i="25"/>
  <c r="R120" i="25"/>
  <c r="AB119" i="25"/>
  <c r="AA119" i="25"/>
  <c r="S119" i="25"/>
  <c r="R119" i="25"/>
  <c r="AB118" i="25"/>
  <c r="AA118" i="25"/>
  <c r="S118" i="25"/>
  <c r="R118" i="25"/>
  <c r="AB117" i="25"/>
  <c r="AA117" i="25"/>
  <c r="S117" i="25"/>
  <c r="R117" i="25"/>
  <c r="AB116" i="25"/>
  <c r="AA116" i="25"/>
  <c r="S116" i="25"/>
  <c r="R116" i="25"/>
  <c r="AB115" i="25"/>
  <c r="AA115" i="25"/>
  <c r="S115" i="25"/>
  <c r="R115" i="25"/>
  <c r="AB114" i="25"/>
  <c r="AA114" i="25"/>
  <c r="S114" i="25"/>
  <c r="R114" i="25"/>
  <c r="AB113" i="25"/>
  <c r="AA113" i="25"/>
  <c r="S113" i="25"/>
  <c r="R113" i="25"/>
  <c r="AB112" i="25"/>
  <c r="AA112" i="25"/>
  <c r="S112" i="25"/>
  <c r="R112" i="25"/>
  <c r="AB111" i="25"/>
  <c r="AA111" i="25"/>
  <c r="S111" i="25"/>
  <c r="R111" i="25"/>
  <c r="AB110" i="25"/>
  <c r="AA110" i="25"/>
  <c r="S110" i="25"/>
  <c r="R110" i="25"/>
  <c r="AB109" i="25"/>
  <c r="AA109" i="25"/>
  <c r="S109" i="25"/>
  <c r="R109" i="25"/>
  <c r="AB108" i="25"/>
  <c r="AA108" i="25"/>
  <c r="S108" i="25"/>
  <c r="R108" i="25"/>
  <c r="AB107" i="25"/>
  <c r="AA107" i="25"/>
  <c r="S107" i="25"/>
  <c r="R107" i="25"/>
  <c r="AB106" i="25"/>
  <c r="AA106" i="25"/>
  <c r="S106" i="25"/>
  <c r="R106" i="25"/>
  <c r="AB105" i="25"/>
  <c r="AA105" i="25"/>
  <c r="S105" i="25"/>
  <c r="R105" i="25"/>
  <c r="AB104" i="25"/>
  <c r="AA104" i="25"/>
  <c r="S104" i="25"/>
  <c r="R104" i="25"/>
  <c r="AB103" i="25"/>
  <c r="AA103" i="25"/>
  <c r="S103" i="25"/>
  <c r="R103" i="25"/>
  <c r="AB102" i="25"/>
  <c r="AA102" i="25"/>
  <c r="S102" i="25"/>
  <c r="R102" i="25"/>
  <c r="AB101" i="25"/>
  <c r="AA101" i="25"/>
  <c r="S101" i="25"/>
  <c r="R101" i="25"/>
  <c r="AB100" i="25"/>
  <c r="AA100" i="25"/>
  <c r="S100" i="25"/>
  <c r="R100" i="25"/>
  <c r="AB99" i="25"/>
  <c r="AA99" i="25"/>
  <c r="S99" i="25"/>
  <c r="R99" i="25"/>
  <c r="AB98" i="25"/>
  <c r="AA98" i="25"/>
  <c r="S98" i="25"/>
  <c r="R98" i="25"/>
  <c r="AB97" i="25"/>
  <c r="AA97" i="25"/>
  <c r="S97" i="25"/>
  <c r="R97" i="25"/>
  <c r="AB96" i="25"/>
  <c r="AA96" i="25"/>
  <c r="S96" i="25"/>
  <c r="R96" i="25"/>
  <c r="AB95" i="25"/>
  <c r="AA95" i="25"/>
  <c r="S95" i="25"/>
  <c r="R95" i="25"/>
  <c r="AB94" i="25"/>
  <c r="AA94" i="25"/>
  <c r="S94" i="25"/>
  <c r="R94" i="25"/>
  <c r="AB93" i="25"/>
  <c r="AA93" i="25"/>
  <c r="S93" i="25"/>
  <c r="R93" i="25"/>
  <c r="AB92" i="25"/>
  <c r="AA92" i="25"/>
  <c r="S92" i="25"/>
  <c r="R92" i="25"/>
  <c r="AB91" i="25"/>
  <c r="AA91" i="25"/>
  <c r="S91" i="25"/>
  <c r="R91" i="25"/>
  <c r="AB90" i="25"/>
  <c r="AA90" i="25"/>
  <c r="S90" i="25"/>
  <c r="R90" i="25"/>
  <c r="AB89" i="25"/>
  <c r="AA89" i="25"/>
  <c r="S89" i="25"/>
  <c r="R89" i="25"/>
  <c r="AB88" i="25"/>
  <c r="AA88" i="25"/>
  <c r="S88" i="25"/>
  <c r="R88" i="25"/>
  <c r="AB87" i="25"/>
  <c r="AA87" i="25"/>
  <c r="S87" i="25"/>
  <c r="R87" i="25"/>
  <c r="AB86" i="25"/>
  <c r="AA86" i="25"/>
  <c r="S86" i="25"/>
  <c r="R86" i="25"/>
  <c r="AB85" i="25"/>
  <c r="AA85" i="25"/>
  <c r="S85" i="25"/>
  <c r="R85" i="25"/>
  <c r="AB84" i="25"/>
  <c r="AA84" i="25"/>
  <c r="S84" i="25"/>
  <c r="R84" i="25"/>
  <c r="AB83" i="25"/>
  <c r="AA83" i="25"/>
  <c r="S83" i="25"/>
  <c r="R83" i="25"/>
  <c r="AB82" i="25"/>
  <c r="AA82" i="25"/>
  <c r="S82" i="25"/>
  <c r="R82" i="25"/>
  <c r="AB81" i="25"/>
  <c r="AA81" i="25"/>
  <c r="S81" i="25"/>
  <c r="R81" i="25"/>
  <c r="AB80" i="25"/>
  <c r="AA80" i="25"/>
  <c r="S80" i="25"/>
  <c r="R80" i="25"/>
  <c r="AB79" i="25"/>
  <c r="AA79" i="25"/>
  <c r="S79" i="25"/>
  <c r="R79" i="25"/>
  <c r="AB78" i="25"/>
  <c r="AA78" i="25"/>
  <c r="S78" i="25"/>
  <c r="R78" i="25"/>
  <c r="AB77" i="25"/>
  <c r="AA77" i="25"/>
  <c r="S77" i="25"/>
  <c r="R77" i="25"/>
  <c r="AB76" i="25"/>
  <c r="AA76" i="25"/>
  <c r="S76" i="25"/>
  <c r="R76" i="25"/>
  <c r="AB75" i="25"/>
  <c r="AA75" i="25"/>
  <c r="S75" i="25"/>
  <c r="R75" i="25"/>
  <c r="AB74" i="25"/>
  <c r="AA74" i="25"/>
  <c r="S74" i="25"/>
  <c r="R74" i="25"/>
  <c r="AB73" i="25"/>
  <c r="AA73" i="25"/>
  <c r="S73" i="25"/>
  <c r="R73" i="25"/>
  <c r="AB72" i="25"/>
  <c r="AA72" i="25"/>
  <c r="S72" i="25"/>
  <c r="R72" i="25"/>
  <c r="AB71" i="25"/>
  <c r="AA71" i="25"/>
  <c r="S71" i="25"/>
  <c r="R71" i="25"/>
  <c r="AB70" i="25"/>
  <c r="AA70" i="25"/>
  <c r="S70" i="25"/>
  <c r="R70" i="25"/>
  <c r="AB69" i="25"/>
  <c r="AA69" i="25"/>
  <c r="S69" i="25"/>
  <c r="R69" i="25"/>
  <c r="AB68" i="25"/>
  <c r="AA68" i="25"/>
  <c r="S68" i="25"/>
  <c r="R68" i="25"/>
  <c r="AB67" i="25"/>
  <c r="AA67" i="25"/>
  <c r="S67" i="25"/>
  <c r="R67" i="25"/>
  <c r="AB66" i="25"/>
  <c r="AA66" i="25"/>
  <c r="S66" i="25"/>
  <c r="R66" i="25"/>
  <c r="AB65" i="25"/>
  <c r="AA65" i="25"/>
  <c r="S65" i="25"/>
  <c r="R65" i="25"/>
  <c r="AB64" i="25"/>
  <c r="AA64" i="25"/>
  <c r="S64" i="25"/>
  <c r="R64" i="25"/>
  <c r="AB63" i="25"/>
  <c r="AA63" i="25"/>
  <c r="S63" i="25"/>
  <c r="R63" i="25"/>
  <c r="AB62" i="25"/>
  <c r="AA62" i="25"/>
  <c r="S62" i="25"/>
  <c r="R62" i="25"/>
  <c r="AB61" i="25"/>
  <c r="AA61" i="25"/>
  <c r="S61" i="25"/>
  <c r="R61" i="25"/>
  <c r="AB60" i="25"/>
  <c r="AA60" i="25"/>
  <c r="S60" i="25"/>
  <c r="R60" i="25"/>
  <c r="AB59" i="25"/>
  <c r="AA59" i="25"/>
  <c r="S59" i="25"/>
  <c r="R59" i="25"/>
  <c r="AB58" i="25"/>
  <c r="AA58" i="25"/>
  <c r="S58" i="25"/>
  <c r="R58" i="25"/>
  <c r="AB57" i="25"/>
  <c r="AA57" i="25"/>
  <c r="S57" i="25"/>
  <c r="R57" i="25"/>
  <c r="AB56" i="25"/>
  <c r="AA56" i="25"/>
  <c r="S56" i="25"/>
  <c r="R56" i="25"/>
  <c r="AB55" i="25"/>
  <c r="AA55" i="25"/>
  <c r="S55" i="25"/>
  <c r="R55" i="25"/>
  <c r="AB54" i="25"/>
  <c r="AA54" i="25"/>
  <c r="S54" i="25"/>
  <c r="R54" i="25"/>
  <c r="AB53" i="25"/>
  <c r="AA53" i="25"/>
  <c r="S53" i="25"/>
  <c r="R53" i="25"/>
  <c r="AB52" i="25"/>
  <c r="AA52" i="25"/>
  <c r="S52" i="25"/>
  <c r="R52" i="25"/>
  <c r="AB51" i="25"/>
  <c r="AA51" i="25"/>
  <c r="S51" i="25"/>
  <c r="R51" i="25"/>
  <c r="AB50" i="25"/>
  <c r="AA50" i="25"/>
  <c r="S50" i="25"/>
  <c r="R50" i="25"/>
  <c r="AB49" i="25"/>
  <c r="AA49" i="25"/>
  <c r="S49" i="25"/>
  <c r="R49" i="25"/>
  <c r="AB48" i="25"/>
  <c r="AA48" i="25"/>
  <c r="S48" i="25"/>
  <c r="R48" i="25"/>
  <c r="AB47" i="25"/>
  <c r="AA47" i="25"/>
  <c r="S47" i="25"/>
  <c r="R47" i="25"/>
  <c r="AB46" i="25"/>
  <c r="AA46" i="25"/>
  <c r="S46" i="25"/>
  <c r="R46" i="25"/>
  <c r="AB45" i="25"/>
  <c r="AA45" i="25"/>
  <c r="S45" i="25"/>
  <c r="R45" i="25"/>
  <c r="AB44" i="25"/>
  <c r="AA44" i="25"/>
  <c r="S44" i="25"/>
  <c r="R44" i="25"/>
  <c r="AB43" i="25"/>
  <c r="AA43" i="25"/>
  <c r="S43" i="25"/>
  <c r="R43" i="25"/>
  <c r="AB42" i="25"/>
  <c r="AA42" i="25"/>
  <c r="S42" i="25"/>
  <c r="R42" i="25"/>
  <c r="AB41" i="25"/>
  <c r="AA41" i="25"/>
  <c r="S41" i="25"/>
  <c r="R41" i="25"/>
  <c r="AB40" i="25"/>
  <c r="AA40" i="25"/>
  <c r="S40" i="25"/>
  <c r="R40" i="25"/>
  <c r="AB39" i="25"/>
  <c r="AA39" i="25"/>
  <c r="S39" i="25"/>
  <c r="R39" i="25"/>
  <c r="AB38" i="25"/>
  <c r="AA38" i="25"/>
  <c r="S38" i="25"/>
  <c r="R38" i="25"/>
  <c r="AB37" i="25"/>
  <c r="AA37" i="25"/>
  <c r="S37" i="25"/>
  <c r="R37" i="25"/>
  <c r="AB36" i="25"/>
  <c r="AA36" i="25"/>
  <c r="S36" i="25"/>
  <c r="R36" i="25"/>
  <c r="AB35" i="25"/>
  <c r="AA35" i="25"/>
  <c r="S35" i="25"/>
  <c r="R35" i="25"/>
  <c r="AB34" i="25"/>
  <c r="AA34" i="25"/>
  <c r="S34" i="25"/>
  <c r="R34" i="25"/>
  <c r="AB33" i="25"/>
  <c r="AA33" i="25"/>
  <c r="S33" i="25"/>
  <c r="R33" i="25"/>
  <c r="AB32" i="25"/>
  <c r="AA32" i="25"/>
  <c r="S32" i="25"/>
  <c r="R32" i="25"/>
  <c r="AB31" i="25"/>
  <c r="AA31" i="25"/>
  <c r="S31" i="25"/>
  <c r="R31" i="25"/>
  <c r="AB30" i="25"/>
  <c r="AA30" i="25"/>
  <c r="S30" i="25"/>
  <c r="R30" i="25"/>
  <c r="AB29" i="25"/>
  <c r="AA29" i="25"/>
  <c r="S29" i="25"/>
  <c r="R29" i="25"/>
  <c r="AB28" i="25"/>
  <c r="AA28" i="25"/>
  <c r="S28" i="25"/>
  <c r="R28" i="25"/>
  <c r="AB27" i="25"/>
  <c r="AA27" i="25"/>
  <c r="S27" i="25"/>
  <c r="R27" i="25"/>
  <c r="AB26" i="25"/>
  <c r="AA26" i="25"/>
  <c r="S26" i="25"/>
  <c r="R26" i="25"/>
  <c r="AB25" i="25"/>
  <c r="AA25" i="25"/>
  <c r="S25" i="25"/>
  <c r="R25" i="25"/>
  <c r="AB24" i="25"/>
  <c r="AA24" i="25"/>
  <c r="S24" i="25"/>
  <c r="R24" i="25"/>
  <c r="AB23" i="25"/>
  <c r="AA23" i="25"/>
  <c r="S23" i="25"/>
  <c r="R23" i="25"/>
  <c r="AB22" i="25"/>
  <c r="AA22" i="25"/>
  <c r="S22" i="25"/>
  <c r="R22" i="25"/>
  <c r="AB21" i="25"/>
  <c r="AA21" i="25"/>
  <c r="S21" i="25"/>
  <c r="R21" i="25"/>
  <c r="AB20" i="25"/>
  <c r="AA20" i="25"/>
  <c r="S20" i="25"/>
  <c r="R20" i="25"/>
  <c r="AB19" i="25"/>
  <c r="AA19" i="25"/>
  <c r="S19" i="25"/>
  <c r="R19" i="25"/>
  <c r="AB18" i="25"/>
  <c r="AA18" i="25"/>
  <c r="S18" i="25"/>
  <c r="R18" i="25"/>
  <c r="AB17" i="25"/>
  <c r="AA17" i="25"/>
  <c r="S17" i="25"/>
  <c r="R17" i="25"/>
  <c r="AB16" i="25"/>
  <c r="AA16" i="25"/>
  <c r="S16" i="25"/>
  <c r="R16" i="25"/>
  <c r="AB15" i="25"/>
  <c r="AA15" i="25"/>
  <c r="S15" i="25"/>
  <c r="R15" i="25"/>
  <c r="AB14" i="25"/>
  <c r="AA14" i="25"/>
  <c r="S14" i="25"/>
  <c r="R14" i="25"/>
  <c r="AB13" i="25"/>
  <c r="AA13" i="25"/>
  <c r="S13" i="25"/>
  <c r="R13" i="25"/>
  <c r="AB12" i="25"/>
  <c r="AA12" i="25"/>
  <c r="S12" i="25"/>
  <c r="R12" i="25"/>
  <c r="AB11" i="25"/>
  <c r="AA11" i="25"/>
  <c r="S11" i="25"/>
  <c r="R11" i="25"/>
  <c r="AB10" i="25"/>
  <c r="AA10" i="25"/>
  <c r="S10" i="25"/>
  <c r="R10" i="25"/>
  <c r="AB9" i="25"/>
  <c r="AA9" i="25"/>
  <c r="S9" i="25"/>
  <c r="R9" i="25"/>
  <c r="AB8" i="25"/>
  <c r="AA8" i="25"/>
  <c r="S8" i="25"/>
  <c r="R8" i="25"/>
  <c r="AB7" i="25"/>
  <c r="AA7" i="25"/>
  <c r="S7" i="25"/>
  <c r="R7" i="25"/>
  <c r="AB6" i="25"/>
  <c r="AA6" i="25"/>
  <c r="S6" i="25"/>
  <c r="R6" i="25"/>
  <c r="AB5" i="25"/>
  <c r="AA5" i="25"/>
  <c r="S5" i="25"/>
  <c r="R5" i="25"/>
  <c r="S4" i="25"/>
  <c r="R4" i="25"/>
  <c r="S3" i="25"/>
  <c r="R3" i="25"/>
  <c r="N34" i="31" l="1"/>
  <c r="N13" i="31"/>
  <c r="N35" i="31"/>
  <c r="N12" i="31"/>
  <c r="N24" i="31"/>
  <c r="N23" i="31"/>
  <c r="N72" i="14"/>
  <c r="N67" i="14"/>
  <c r="N59" i="14"/>
  <c r="N51" i="14"/>
  <c r="N46" i="14"/>
  <c r="N42" i="14"/>
  <c r="N34" i="14"/>
  <c r="N25" i="14"/>
  <c r="N6" i="14"/>
  <c r="N75" i="14"/>
  <c r="N71" i="14"/>
  <c r="N33" i="14"/>
  <c r="N73" i="14"/>
  <c r="N68" i="14"/>
  <c r="N64" i="14"/>
  <c r="N52" i="14"/>
  <c r="N47" i="14"/>
  <c r="N43" i="14"/>
  <c r="N35" i="14"/>
  <c r="N30" i="14"/>
  <c r="N12" i="14"/>
  <c r="N17" i="14"/>
  <c r="N54" i="14"/>
  <c r="N50" i="14"/>
  <c r="N37" i="14"/>
  <c r="N74" i="14"/>
  <c r="N69" i="14"/>
  <c r="N65" i="14"/>
  <c r="N53" i="14"/>
  <c r="N48" i="14"/>
  <c r="N44" i="14"/>
  <c r="N36" i="14"/>
  <c r="N31" i="14"/>
  <c r="N66" i="14"/>
  <c r="N45" i="14"/>
  <c r="N21" i="14"/>
  <c r="Y83" i="17"/>
  <c r="Z83" i="17"/>
  <c r="Y82" i="17"/>
  <c r="Z82" i="17"/>
  <c r="N41" i="14" l="1"/>
  <c r="N5" i="14"/>
  <c r="N49" i="14"/>
  <c r="N32" i="14"/>
  <c r="N70" i="14"/>
  <c r="N58" i="14"/>
  <c r="N11" i="31"/>
  <c r="N22" i="31"/>
  <c r="N33" i="31"/>
  <c r="K57" i="14"/>
  <c r="Y10" i="17"/>
  <c r="Z10" i="17"/>
  <c r="N57" i="14" l="1"/>
  <c r="E20" i="32" s="1"/>
  <c r="N4" i="14"/>
  <c r="C20" i="32" s="1"/>
  <c r="E17" i="32"/>
  <c r="Z81" i="17"/>
  <c r="Y81" i="17"/>
  <c r="C19" i="31" l="1"/>
  <c r="C32" i="31"/>
  <c r="C31" i="31"/>
  <c r="C30" i="31"/>
  <c r="C21" i="31"/>
  <c r="C20" i="31"/>
  <c r="C10" i="31"/>
  <c r="C9" i="31"/>
  <c r="C8" i="31"/>
  <c r="O3" i="17"/>
  <c r="Q30" i="13" l="1"/>
  <c r="H28" i="31"/>
  <c r="C28" i="31" s="1"/>
  <c r="C29" i="31"/>
  <c r="C18" i="31"/>
  <c r="H17" i="31"/>
  <c r="C17" i="31" s="1"/>
  <c r="H6" i="31"/>
  <c r="C6" i="31" s="1"/>
  <c r="C7" i="31"/>
  <c r="Q27" i="13"/>
  <c r="Q64" i="13"/>
  <c r="Q44" i="13"/>
  <c r="C48" i="13"/>
  <c r="C34" i="13"/>
  <c r="C9" i="13"/>
  <c r="Q8" i="13" l="1"/>
  <c r="C27" i="12"/>
  <c r="D27" i="12"/>
  <c r="D73" i="12" s="1"/>
  <c r="E27" i="12"/>
  <c r="E73" i="12" s="1"/>
  <c r="Q33" i="13"/>
  <c r="Q47" i="13"/>
  <c r="Y117" i="17"/>
  <c r="Z117" i="17"/>
  <c r="Y118" i="17"/>
  <c r="Z118" i="17"/>
  <c r="Y119" i="17"/>
  <c r="Z119" i="17"/>
  <c r="Y120" i="17"/>
  <c r="Z120" i="17"/>
  <c r="Y121" i="17"/>
  <c r="Z121" i="17"/>
  <c r="Y122" i="17"/>
  <c r="Z122" i="17"/>
  <c r="Y123" i="17"/>
  <c r="Z123" i="17"/>
  <c r="Y124" i="17"/>
  <c r="Z124" i="17"/>
  <c r="Y125" i="17"/>
  <c r="Z125" i="17"/>
  <c r="Y126" i="17"/>
  <c r="Z126" i="17"/>
  <c r="Y127" i="17"/>
  <c r="Z127" i="17"/>
  <c r="C73" i="12" l="1"/>
  <c r="D30" i="13"/>
  <c r="G40" i="14"/>
  <c r="U27" i="13"/>
  <c r="M27" i="13"/>
  <c r="H27" i="13"/>
  <c r="T27" i="13"/>
  <c r="L27" i="13"/>
  <c r="F27" i="13"/>
  <c r="C17" i="13"/>
  <c r="C25" i="13"/>
  <c r="C29" i="13"/>
  <c r="D44" i="13"/>
  <c r="S27" i="13"/>
  <c r="J27" i="13"/>
  <c r="E27" i="13"/>
  <c r="N27" i="13"/>
  <c r="I27" i="13"/>
  <c r="D27" i="13"/>
  <c r="C10" i="13"/>
  <c r="C14" i="13"/>
  <c r="C21" i="13"/>
  <c r="C26" i="13"/>
  <c r="C28" i="13"/>
  <c r="C52" i="13"/>
  <c r="C36" i="13"/>
  <c r="C39" i="13"/>
  <c r="C35" i="13"/>
  <c r="C58" i="13"/>
  <c r="C56" i="13"/>
  <c r="C60" i="13"/>
  <c r="C38" i="13"/>
  <c r="C37" i="13"/>
  <c r="C40" i="13"/>
  <c r="C42" i="13"/>
  <c r="C43" i="13"/>
  <c r="C57" i="13"/>
  <c r="C59" i="13"/>
  <c r="C63" i="13"/>
  <c r="C62" i="13"/>
  <c r="Z6" i="17"/>
  <c r="Z7" i="17"/>
  <c r="Z8" i="17"/>
  <c r="Z9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02" i="17"/>
  <c r="Z103" i="17"/>
  <c r="Z104" i="17"/>
  <c r="Z105" i="17"/>
  <c r="Z106" i="17"/>
  <c r="Z107" i="17"/>
  <c r="Z108" i="17"/>
  <c r="Z109" i="17"/>
  <c r="Z110" i="17"/>
  <c r="Z111" i="17"/>
  <c r="Z112" i="17"/>
  <c r="Z113" i="17"/>
  <c r="Z114" i="17"/>
  <c r="Z115" i="17"/>
  <c r="Z116" i="17"/>
  <c r="Z5" i="17"/>
  <c r="C27" i="13" l="1"/>
  <c r="C17" i="12" s="1"/>
  <c r="C63" i="12" s="1"/>
  <c r="D8" i="13"/>
  <c r="D12" i="32"/>
  <c r="D33" i="13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O112" i="17"/>
  <c r="P112" i="17"/>
  <c r="O113" i="17"/>
  <c r="P113" i="17"/>
  <c r="O114" i="17"/>
  <c r="P114" i="17"/>
  <c r="O115" i="17"/>
  <c r="P115" i="17"/>
  <c r="O116" i="17"/>
  <c r="P116" i="17"/>
  <c r="O117" i="17"/>
  <c r="P117" i="17"/>
  <c r="O118" i="17"/>
  <c r="P118" i="17"/>
  <c r="O119" i="17"/>
  <c r="P119" i="17"/>
  <c r="O120" i="17"/>
  <c r="P120" i="17"/>
  <c r="O121" i="17"/>
  <c r="P121" i="17"/>
  <c r="O122" i="17"/>
  <c r="P122" i="17"/>
  <c r="O123" i="17"/>
  <c r="P123" i="17"/>
  <c r="O124" i="17"/>
  <c r="P124" i="17"/>
  <c r="O125" i="17"/>
  <c r="P125" i="17"/>
  <c r="O126" i="17"/>
  <c r="P126" i="17"/>
  <c r="O127" i="17"/>
  <c r="P127" i="17"/>
  <c r="O128" i="17"/>
  <c r="P128" i="17"/>
  <c r="O129" i="17"/>
  <c r="P129" i="17"/>
  <c r="O130" i="17"/>
  <c r="P130" i="17"/>
  <c r="O131" i="17"/>
  <c r="P131" i="17"/>
  <c r="O132" i="17"/>
  <c r="P132" i="17"/>
  <c r="O133" i="17"/>
  <c r="P133" i="17"/>
  <c r="O134" i="17"/>
  <c r="P134" i="17"/>
  <c r="O135" i="17"/>
  <c r="P135" i="17"/>
  <c r="O136" i="17"/>
  <c r="P136" i="17"/>
  <c r="O137" i="17"/>
  <c r="P137" i="17"/>
  <c r="O138" i="17"/>
  <c r="P138" i="17"/>
  <c r="O139" i="17"/>
  <c r="P139" i="17"/>
  <c r="O140" i="17"/>
  <c r="P140" i="17"/>
  <c r="O141" i="17"/>
  <c r="P141" i="17"/>
  <c r="O142" i="17"/>
  <c r="P142" i="17"/>
  <c r="O143" i="17"/>
  <c r="P143" i="17"/>
  <c r="O144" i="17"/>
  <c r="P144" i="17"/>
  <c r="O145" i="17"/>
  <c r="P145" i="17"/>
  <c r="O146" i="17"/>
  <c r="P146" i="17"/>
  <c r="O147" i="17"/>
  <c r="P147" i="17"/>
  <c r="O148" i="17"/>
  <c r="P148" i="17"/>
  <c r="O149" i="17"/>
  <c r="P149" i="17"/>
  <c r="O150" i="17"/>
  <c r="P150" i="17"/>
  <c r="O151" i="17"/>
  <c r="P151" i="17"/>
  <c r="O152" i="17"/>
  <c r="P152" i="17"/>
  <c r="O153" i="17"/>
  <c r="P153" i="17"/>
  <c r="O154" i="17"/>
  <c r="P154" i="17"/>
  <c r="O155" i="17"/>
  <c r="P155" i="17"/>
  <c r="O156" i="17"/>
  <c r="P156" i="17"/>
  <c r="O157" i="17"/>
  <c r="P157" i="17"/>
  <c r="O158" i="17"/>
  <c r="P158" i="17"/>
  <c r="O159" i="17"/>
  <c r="P159" i="17"/>
  <c r="O160" i="17"/>
  <c r="P160" i="17"/>
  <c r="O161" i="17"/>
  <c r="P161" i="17"/>
  <c r="O162" i="17"/>
  <c r="P162" i="17"/>
  <c r="O163" i="17"/>
  <c r="P163" i="17"/>
  <c r="O164" i="17"/>
  <c r="P164" i="17"/>
  <c r="O165" i="17"/>
  <c r="P165" i="17"/>
  <c r="O166" i="17"/>
  <c r="P166" i="17"/>
  <c r="O167" i="17"/>
  <c r="P167" i="17"/>
  <c r="O168" i="17"/>
  <c r="P168" i="17"/>
  <c r="O169" i="17"/>
  <c r="P169" i="17"/>
  <c r="O170" i="17"/>
  <c r="P170" i="17"/>
  <c r="O171" i="17"/>
  <c r="P171" i="17"/>
  <c r="O172" i="17"/>
  <c r="P172" i="17"/>
  <c r="O173" i="17"/>
  <c r="P173" i="17"/>
  <c r="O174" i="17"/>
  <c r="P174" i="17"/>
  <c r="O175" i="17"/>
  <c r="P175" i="17"/>
  <c r="O176" i="17"/>
  <c r="P176" i="17"/>
  <c r="O177" i="17"/>
  <c r="P177" i="17"/>
  <c r="O178" i="17"/>
  <c r="P178" i="17"/>
  <c r="O179" i="17"/>
  <c r="P179" i="17"/>
  <c r="O180" i="17"/>
  <c r="P180" i="17"/>
  <c r="O181" i="17"/>
  <c r="P181" i="17"/>
  <c r="O182" i="17"/>
  <c r="P182" i="17"/>
  <c r="O183" i="17"/>
  <c r="P183" i="17"/>
  <c r="O184" i="17"/>
  <c r="P184" i="17"/>
  <c r="O185" i="17"/>
  <c r="P185" i="17"/>
  <c r="O186" i="17"/>
  <c r="P186" i="17"/>
  <c r="O187" i="17"/>
  <c r="P187" i="17"/>
  <c r="O188" i="17"/>
  <c r="P188" i="17"/>
  <c r="O189" i="17"/>
  <c r="P189" i="17"/>
  <c r="O190" i="17"/>
  <c r="P190" i="17"/>
  <c r="O191" i="17"/>
  <c r="P191" i="17"/>
  <c r="O192" i="17"/>
  <c r="P192" i="17"/>
  <c r="O193" i="17"/>
  <c r="P193" i="17"/>
  <c r="O194" i="17"/>
  <c r="P194" i="17"/>
  <c r="O195" i="17"/>
  <c r="P195" i="17"/>
  <c r="O196" i="17"/>
  <c r="P196" i="17"/>
  <c r="O197" i="17"/>
  <c r="P197" i="17"/>
  <c r="O198" i="17"/>
  <c r="P198" i="17"/>
  <c r="O199" i="17"/>
  <c r="P199" i="17"/>
  <c r="O200" i="17"/>
  <c r="P200" i="17"/>
  <c r="O201" i="17"/>
  <c r="P201" i="17"/>
  <c r="O202" i="17"/>
  <c r="P202" i="17"/>
  <c r="O203" i="17"/>
  <c r="P203" i="17"/>
  <c r="O204" i="17"/>
  <c r="P204" i="17"/>
  <c r="O205" i="17"/>
  <c r="P205" i="17"/>
  <c r="O206" i="17"/>
  <c r="P206" i="17"/>
  <c r="O207" i="17"/>
  <c r="P207" i="17"/>
  <c r="O208" i="17"/>
  <c r="P208" i="17"/>
  <c r="O209" i="17"/>
  <c r="P209" i="17"/>
  <c r="O210" i="17"/>
  <c r="P210" i="17"/>
  <c r="O211" i="17"/>
  <c r="P211" i="17"/>
  <c r="O212" i="17"/>
  <c r="P212" i="17"/>
  <c r="O213" i="17"/>
  <c r="P213" i="17"/>
  <c r="O214" i="17"/>
  <c r="P214" i="17"/>
  <c r="O215" i="17"/>
  <c r="P215" i="17"/>
  <c r="O216" i="17"/>
  <c r="P216" i="17"/>
  <c r="O217" i="17"/>
  <c r="P217" i="17"/>
  <c r="O218" i="17"/>
  <c r="P218" i="17"/>
  <c r="O219" i="17"/>
  <c r="P219" i="17"/>
  <c r="O220" i="17"/>
  <c r="P220" i="17"/>
  <c r="O221" i="17"/>
  <c r="P221" i="17"/>
  <c r="O222" i="17"/>
  <c r="P222" i="17"/>
  <c r="O223" i="17"/>
  <c r="P223" i="17"/>
  <c r="O224" i="17"/>
  <c r="P224" i="17"/>
  <c r="O225" i="17"/>
  <c r="P225" i="17"/>
  <c r="O226" i="17"/>
  <c r="P226" i="17"/>
  <c r="O227" i="17"/>
  <c r="P227" i="17"/>
  <c r="O228" i="17"/>
  <c r="P228" i="17"/>
  <c r="O229" i="17"/>
  <c r="P229" i="17"/>
  <c r="O230" i="17"/>
  <c r="P230" i="17"/>
  <c r="O231" i="17"/>
  <c r="P231" i="17"/>
  <c r="O232" i="17"/>
  <c r="P232" i="17"/>
  <c r="O233" i="17"/>
  <c r="P233" i="17"/>
  <c r="O234" i="17"/>
  <c r="P234" i="17"/>
  <c r="O235" i="17"/>
  <c r="P235" i="17"/>
  <c r="O236" i="17"/>
  <c r="P236" i="17"/>
  <c r="O237" i="17"/>
  <c r="P237" i="17"/>
  <c r="O238" i="17"/>
  <c r="P238" i="17"/>
  <c r="O239" i="17"/>
  <c r="P239" i="17"/>
  <c r="O240" i="17"/>
  <c r="P240" i="17"/>
  <c r="O241" i="17"/>
  <c r="P241" i="17"/>
  <c r="O242" i="17"/>
  <c r="P242" i="17"/>
  <c r="O243" i="17"/>
  <c r="P243" i="17"/>
  <c r="O244" i="17"/>
  <c r="P244" i="17"/>
  <c r="O245" i="17"/>
  <c r="P245" i="17"/>
  <c r="O246" i="17"/>
  <c r="P246" i="17"/>
  <c r="O247" i="17"/>
  <c r="P247" i="17"/>
  <c r="O248" i="17"/>
  <c r="P248" i="17"/>
  <c r="O249" i="17"/>
  <c r="P249" i="17"/>
  <c r="O250" i="17"/>
  <c r="P250" i="17"/>
  <c r="O251" i="17"/>
  <c r="P251" i="17"/>
  <c r="O252" i="17"/>
  <c r="P252" i="17"/>
  <c r="O253" i="17"/>
  <c r="P253" i="17"/>
  <c r="O254" i="17"/>
  <c r="P254" i="17"/>
  <c r="O255" i="17"/>
  <c r="P255" i="17"/>
  <c r="O256" i="17"/>
  <c r="P256" i="17"/>
  <c r="O257" i="17"/>
  <c r="P257" i="17"/>
  <c r="O258" i="17"/>
  <c r="P258" i="17"/>
  <c r="O259" i="17"/>
  <c r="P259" i="17"/>
  <c r="O260" i="17"/>
  <c r="P260" i="17"/>
  <c r="O261" i="17"/>
  <c r="P261" i="17"/>
  <c r="O262" i="17"/>
  <c r="P262" i="17"/>
  <c r="O263" i="17"/>
  <c r="P263" i="17"/>
  <c r="O264" i="17"/>
  <c r="P264" i="17"/>
  <c r="O265" i="17"/>
  <c r="P265" i="17"/>
  <c r="O266" i="17"/>
  <c r="P266" i="17"/>
  <c r="O267" i="17"/>
  <c r="P267" i="17"/>
  <c r="O268" i="17"/>
  <c r="P268" i="17"/>
  <c r="O269" i="17"/>
  <c r="P269" i="17"/>
  <c r="O270" i="17"/>
  <c r="P270" i="17"/>
  <c r="O271" i="17"/>
  <c r="P271" i="17"/>
  <c r="O272" i="17"/>
  <c r="P272" i="17"/>
  <c r="O273" i="17"/>
  <c r="P273" i="17"/>
  <c r="O274" i="17"/>
  <c r="P274" i="17"/>
  <c r="O275" i="17"/>
  <c r="P275" i="17"/>
  <c r="O276" i="17"/>
  <c r="P276" i="17"/>
  <c r="O277" i="17"/>
  <c r="P277" i="17"/>
  <c r="O278" i="17"/>
  <c r="P278" i="17"/>
  <c r="O279" i="17"/>
  <c r="P279" i="17"/>
  <c r="O280" i="17"/>
  <c r="P280" i="17"/>
  <c r="O281" i="17"/>
  <c r="P281" i="17"/>
  <c r="O282" i="17"/>
  <c r="P282" i="17"/>
  <c r="O283" i="17"/>
  <c r="P283" i="17"/>
  <c r="O284" i="17"/>
  <c r="P284" i="17"/>
  <c r="O285" i="17"/>
  <c r="P285" i="17"/>
  <c r="O286" i="17"/>
  <c r="P286" i="17"/>
  <c r="O287" i="17"/>
  <c r="P287" i="17"/>
  <c r="O288" i="17"/>
  <c r="P288" i="17"/>
  <c r="O289" i="17"/>
  <c r="P289" i="17"/>
  <c r="O290" i="17"/>
  <c r="P290" i="17"/>
  <c r="O291" i="17"/>
  <c r="P291" i="17"/>
  <c r="O292" i="17"/>
  <c r="P292" i="17"/>
  <c r="O293" i="17"/>
  <c r="P293" i="17"/>
  <c r="O294" i="17"/>
  <c r="P294" i="17"/>
  <c r="O295" i="17"/>
  <c r="P295" i="17"/>
  <c r="O296" i="17"/>
  <c r="P296" i="17"/>
  <c r="O297" i="17"/>
  <c r="P297" i="17"/>
  <c r="O298" i="17"/>
  <c r="P298" i="17"/>
  <c r="O299" i="17"/>
  <c r="P299" i="17"/>
  <c r="O300" i="17"/>
  <c r="P300" i="17"/>
  <c r="O301" i="17"/>
  <c r="P301" i="17"/>
  <c r="O302" i="17"/>
  <c r="P302" i="17"/>
  <c r="O303" i="17"/>
  <c r="P303" i="17"/>
  <c r="O304" i="17"/>
  <c r="P304" i="17"/>
  <c r="O305" i="17"/>
  <c r="P305" i="17"/>
  <c r="O306" i="17"/>
  <c r="P306" i="17"/>
  <c r="O307" i="17"/>
  <c r="P307" i="17"/>
  <c r="O308" i="17"/>
  <c r="P308" i="17"/>
  <c r="O309" i="17"/>
  <c r="P309" i="17"/>
  <c r="O310" i="17"/>
  <c r="P310" i="17"/>
  <c r="O311" i="17"/>
  <c r="P311" i="17"/>
  <c r="O312" i="17"/>
  <c r="P312" i="17"/>
  <c r="O313" i="17"/>
  <c r="P313" i="17"/>
  <c r="O314" i="17"/>
  <c r="P314" i="17"/>
  <c r="O315" i="17"/>
  <c r="P315" i="17"/>
  <c r="O316" i="17"/>
  <c r="P316" i="17"/>
  <c r="O317" i="17"/>
  <c r="P317" i="17"/>
  <c r="O318" i="17"/>
  <c r="P318" i="17"/>
  <c r="O319" i="17"/>
  <c r="P319" i="17"/>
  <c r="O320" i="17"/>
  <c r="P320" i="17"/>
  <c r="O321" i="17"/>
  <c r="P321" i="17"/>
  <c r="O322" i="17"/>
  <c r="P322" i="17"/>
  <c r="O323" i="17"/>
  <c r="P323" i="17"/>
  <c r="O324" i="17"/>
  <c r="P324" i="17"/>
  <c r="O325" i="17"/>
  <c r="P325" i="17"/>
  <c r="O326" i="17"/>
  <c r="P326" i="17"/>
  <c r="O327" i="17"/>
  <c r="P327" i="17"/>
  <c r="O328" i="17"/>
  <c r="P328" i="17"/>
  <c r="O329" i="17"/>
  <c r="P329" i="17"/>
  <c r="O330" i="17"/>
  <c r="P330" i="17"/>
  <c r="O331" i="17"/>
  <c r="P331" i="17"/>
  <c r="O332" i="17"/>
  <c r="P332" i="17"/>
  <c r="O333" i="17"/>
  <c r="P333" i="17"/>
  <c r="O334" i="17"/>
  <c r="P334" i="17"/>
  <c r="O335" i="17"/>
  <c r="P335" i="17"/>
  <c r="O336" i="17"/>
  <c r="P336" i="17"/>
  <c r="O337" i="17"/>
  <c r="P337" i="17"/>
  <c r="O338" i="17"/>
  <c r="P338" i="17"/>
  <c r="O339" i="17"/>
  <c r="P339" i="17"/>
  <c r="O340" i="17"/>
  <c r="P340" i="17"/>
  <c r="O341" i="17"/>
  <c r="P341" i="17"/>
  <c r="O342" i="17"/>
  <c r="P342" i="17"/>
  <c r="O343" i="17"/>
  <c r="P343" i="17"/>
  <c r="O344" i="17"/>
  <c r="P344" i="17"/>
  <c r="O345" i="17"/>
  <c r="P345" i="17"/>
  <c r="O346" i="17"/>
  <c r="P346" i="17"/>
  <c r="O347" i="17"/>
  <c r="P347" i="17"/>
  <c r="O348" i="17"/>
  <c r="P348" i="17"/>
  <c r="O349" i="17"/>
  <c r="P349" i="17"/>
  <c r="O350" i="17"/>
  <c r="P350" i="17"/>
  <c r="O351" i="17"/>
  <c r="P351" i="17"/>
  <c r="O352" i="17"/>
  <c r="P352" i="17"/>
  <c r="O353" i="17"/>
  <c r="P353" i="17"/>
  <c r="O354" i="17"/>
  <c r="P354" i="17"/>
  <c r="O355" i="17"/>
  <c r="P355" i="17"/>
  <c r="O356" i="17"/>
  <c r="P356" i="17"/>
  <c r="O357" i="17"/>
  <c r="P357" i="17"/>
  <c r="O358" i="17"/>
  <c r="P358" i="17"/>
  <c r="O359" i="17"/>
  <c r="P359" i="17"/>
  <c r="O360" i="17"/>
  <c r="P360" i="17"/>
  <c r="O361" i="17"/>
  <c r="P361" i="17"/>
  <c r="O362" i="17"/>
  <c r="P362" i="17"/>
  <c r="O363" i="17"/>
  <c r="P363" i="17"/>
  <c r="O364" i="17"/>
  <c r="P364" i="17"/>
  <c r="O365" i="17"/>
  <c r="P365" i="17"/>
  <c r="O366" i="17"/>
  <c r="P366" i="17"/>
  <c r="O367" i="17"/>
  <c r="P367" i="17"/>
  <c r="O368" i="17"/>
  <c r="P368" i="17"/>
  <c r="O369" i="17"/>
  <c r="P369" i="17"/>
  <c r="O370" i="17"/>
  <c r="P370" i="17"/>
  <c r="O371" i="17"/>
  <c r="P371" i="17"/>
  <c r="O372" i="17"/>
  <c r="P372" i="17"/>
  <c r="O373" i="17"/>
  <c r="P373" i="17"/>
  <c r="O374" i="17"/>
  <c r="P374" i="17"/>
  <c r="O375" i="17"/>
  <c r="P375" i="17"/>
  <c r="O376" i="17"/>
  <c r="P376" i="17"/>
  <c r="O377" i="17"/>
  <c r="P377" i="17"/>
  <c r="O378" i="17"/>
  <c r="P378" i="17"/>
  <c r="O379" i="17"/>
  <c r="P379" i="17"/>
  <c r="O380" i="17"/>
  <c r="P380" i="17"/>
  <c r="O381" i="17"/>
  <c r="P381" i="17"/>
  <c r="O382" i="17"/>
  <c r="P382" i="17"/>
  <c r="O383" i="17"/>
  <c r="P383" i="17"/>
  <c r="O384" i="17"/>
  <c r="P384" i="17"/>
  <c r="O385" i="17"/>
  <c r="P385" i="17"/>
  <c r="O386" i="17"/>
  <c r="P386" i="17"/>
  <c r="O387" i="17"/>
  <c r="P387" i="17"/>
  <c r="O388" i="17"/>
  <c r="P388" i="17"/>
  <c r="O389" i="17"/>
  <c r="P389" i="17"/>
  <c r="O390" i="17"/>
  <c r="P390" i="17"/>
  <c r="O391" i="17"/>
  <c r="P391" i="17"/>
  <c r="O392" i="17"/>
  <c r="P392" i="17"/>
  <c r="O393" i="17"/>
  <c r="P393" i="17"/>
  <c r="O394" i="17"/>
  <c r="P394" i="17"/>
  <c r="O395" i="17"/>
  <c r="P395" i="17"/>
  <c r="O396" i="17"/>
  <c r="P396" i="17"/>
  <c r="O397" i="17"/>
  <c r="P397" i="17"/>
  <c r="O398" i="17"/>
  <c r="P398" i="17"/>
  <c r="O399" i="17"/>
  <c r="P399" i="17"/>
  <c r="O400" i="17"/>
  <c r="P400" i="17"/>
  <c r="O401" i="17"/>
  <c r="P401" i="17"/>
  <c r="O402" i="17"/>
  <c r="P402" i="17"/>
  <c r="O403" i="17"/>
  <c r="P403" i="17"/>
  <c r="O404" i="17"/>
  <c r="P404" i="17"/>
  <c r="O405" i="17"/>
  <c r="P405" i="17"/>
  <c r="O406" i="17"/>
  <c r="P406" i="17"/>
  <c r="O407" i="17"/>
  <c r="P407" i="17"/>
  <c r="O408" i="17"/>
  <c r="P408" i="17"/>
  <c r="O409" i="17"/>
  <c r="P409" i="17"/>
  <c r="O410" i="17"/>
  <c r="P410" i="17"/>
  <c r="O411" i="17"/>
  <c r="P411" i="17"/>
  <c r="O412" i="17"/>
  <c r="P412" i="17"/>
  <c r="O413" i="17"/>
  <c r="P413" i="17"/>
  <c r="O414" i="17"/>
  <c r="P414" i="17"/>
  <c r="O415" i="17"/>
  <c r="P415" i="17"/>
  <c r="O416" i="17"/>
  <c r="P416" i="17"/>
  <c r="O417" i="17"/>
  <c r="P417" i="17"/>
  <c r="O418" i="17"/>
  <c r="P418" i="17"/>
  <c r="O419" i="17"/>
  <c r="P419" i="17"/>
  <c r="O420" i="17"/>
  <c r="P420" i="17"/>
  <c r="O421" i="17"/>
  <c r="P421" i="17"/>
  <c r="O422" i="17"/>
  <c r="P422" i="17"/>
  <c r="O423" i="17"/>
  <c r="P423" i="17"/>
  <c r="O424" i="17"/>
  <c r="P424" i="17"/>
  <c r="O425" i="17"/>
  <c r="P425" i="17"/>
  <c r="O426" i="17"/>
  <c r="P426" i="17"/>
  <c r="O427" i="17"/>
  <c r="P427" i="17"/>
  <c r="O428" i="17"/>
  <c r="P428" i="17"/>
  <c r="O429" i="17"/>
  <c r="P429" i="17"/>
  <c r="O430" i="17"/>
  <c r="P430" i="17"/>
  <c r="O431" i="17"/>
  <c r="P431" i="17"/>
  <c r="O432" i="17"/>
  <c r="P432" i="17"/>
  <c r="O433" i="17"/>
  <c r="P433" i="17"/>
  <c r="O434" i="17"/>
  <c r="P434" i="17"/>
  <c r="O435" i="17"/>
  <c r="P435" i="17"/>
  <c r="O436" i="17"/>
  <c r="P436" i="17"/>
  <c r="O437" i="17"/>
  <c r="P437" i="17"/>
  <c r="O438" i="17"/>
  <c r="P438" i="17"/>
  <c r="O439" i="17"/>
  <c r="P439" i="17"/>
  <c r="O440" i="17"/>
  <c r="P440" i="17"/>
  <c r="O441" i="17"/>
  <c r="P441" i="17"/>
  <c r="O442" i="17"/>
  <c r="P442" i="17"/>
  <c r="O443" i="17"/>
  <c r="P443" i="17"/>
  <c r="O444" i="17"/>
  <c r="P444" i="17"/>
  <c r="O445" i="17"/>
  <c r="P445" i="17"/>
  <c r="O446" i="17"/>
  <c r="P446" i="17"/>
  <c r="O447" i="17"/>
  <c r="P447" i="17"/>
  <c r="O448" i="17"/>
  <c r="P448" i="17"/>
  <c r="O449" i="17"/>
  <c r="P449" i="17"/>
  <c r="O450" i="17"/>
  <c r="P450" i="17"/>
  <c r="O451" i="17"/>
  <c r="P451" i="17"/>
  <c r="O452" i="17"/>
  <c r="P452" i="17"/>
  <c r="O453" i="17"/>
  <c r="P453" i="17"/>
  <c r="O454" i="17"/>
  <c r="P454" i="17"/>
  <c r="O455" i="17"/>
  <c r="P455" i="17"/>
  <c r="O456" i="17"/>
  <c r="P456" i="17"/>
  <c r="O457" i="17"/>
  <c r="P457" i="17"/>
  <c r="O458" i="17"/>
  <c r="P458" i="17"/>
  <c r="O459" i="17"/>
  <c r="P459" i="17"/>
  <c r="O460" i="17"/>
  <c r="P460" i="17"/>
  <c r="O461" i="17"/>
  <c r="P461" i="17"/>
  <c r="O462" i="17"/>
  <c r="P462" i="17"/>
  <c r="O463" i="17"/>
  <c r="P463" i="17"/>
  <c r="O464" i="17"/>
  <c r="P464" i="17"/>
  <c r="O465" i="17"/>
  <c r="P465" i="17"/>
  <c r="O466" i="17"/>
  <c r="P466" i="17"/>
  <c r="O467" i="17"/>
  <c r="P467" i="17"/>
  <c r="O468" i="17"/>
  <c r="P468" i="17"/>
  <c r="O469" i="17"/>
  <c r="P469" i="17"/>
  <c r="O470" i="17"/>
  <c r="P470" i="17"/>
  <c r="O471" i="17"/>
  <c r="P471" i="17"/>
  <c r="O472" i="17"/>
  <c r="P472" i="17"/>
  <c r="O473" i="17"/>
  <c r="P473" i="17"/>
  <c r="O474" i="17"/>
  <c r="P474" i="17"/>
  <c r="O475" i="17"/>
  <c r="P475" i="17"/>
  <c r="O476" i="17"/>
  <c r="P476" i="17"/>
  <c r="O477" i="17"/>
  <c r="P477" i="17"/>
  <c r="O478" i="17"/>
  <c r="P478" i="17"/>
  <c r="O479" i="17"/>
  <c r="P479" i="17"/>
  <c r="O480" i="17"/>
  <c r="P480" i="17"/>
  <c r="O481" i="17"/>
  <c r="P481" i="17"/>
  <c r="O482" i="17"/>
  <c r="P482" i="17"/>
  <c r="O483" i="17"/>
  <c r="P483" i="17"/>
  <c r="O484" i="17"/>
  <c r="P484" i="17"/>
  <c r="O485" i="17"/>
  <c r="P485" i="17"/>
  <c r="O486" i="17"/>
  <c r="P486" i="17"/>
  <c r="O487" i="17"/>
  <c r="P487" i="17"/>
  <c r="O488" i="17"/>
  <c r="P488" i="17"/>
  <c r="O489" i="17"/>
  <c r="P489" i="17"/>
  <c r="O490" i="17"/>
  <c r="P490" i="17"/>
  <c r="O491" i="17"/>
  <c r="P491" i="17"/>
  <c r="O492" i="17"/>
  <c r="P492" i="17"/>
  <c r="O493" i="17"/>
  <c r="P493" i="17"/>
  <c r="O494" i="17"/>
  <c r="P494" i="17"/>
  <c r="O495" i="17"/>
  <c r="P495" i="17"/>
  <c r="O496" i="17"/>
  <c r="P496" i="17"/>
  <c r="O497" i="17"/>
  <c r="P497" i="17"/>
  <c r="O498" i="17"/>
  <c r="P498" i="17"/>
  <c r="Y9" i="17"/>
  <c r="Y12" i="17"/>
  <c r="Y27" i="17"/>
  <c r="Y37" i="17"/>
  <c r="Y72" i="17"/>
  <c r="Y39" i="17"/>
  <c r="Y91" i="17"/>
  <c r="Y33" i="17"/>
  <c r="Y11" i="17"/>
  <c r="Y18" i="17"/>
  <c r="Y28" i="17"/>
  <c r="Y74" i="17"/>
  <c r="Y94" i="17"/>
  <c r="Y13" i="17"/>
  <c r="Y15" i="17"/>
  <c r="Y30" i="17"/>
  <c r="Y31" i="17"/>
  <c r="Y34" i="17"/>
  <c r="Y36" i="17"/>
  <c r="Y44" i="17"/>
  <c r="Y45" i="17"/>
  <c r="Y56" i="17"/>
  <c r="Y95" i="17"/>
  <c r="Y97" i="17"/>
  <c r="Y103" i="17"/>
  <c r="Y16" i="17"/>
  <c r="Y17" i="17"/>
  <c r="Y19" i="17"/>
  <c r="Y22" i="17"/>
  <c r="Y23" i="17"/>
  <c r="Y24" i="17"/>
  <c r="Y29" i="17"/>
  <c r="Y58" i="17"/>
  <c r="Y62" i="17"/>
  <c r="Y69" i="17"/>
  <c r="Y71" i="17"/>
  <c r="Y98" i="17"/>
  <c r="Y108" i="17"/>
  <c r="Y25" i="17"/>
  <c r="Y26" i="17"/>
  <c r="Y21" i="17"/>
  <c r="Y52" i="17"/>
  <c r="Y96" i="17"/>
  <c r="Y111" i="17"/>
  <c r="Y64" i="17"/>
  <c r="Y7" i="17"/>
  <c r="Y14" i="17"/>
  <c r="Y68" i="17"/>
  <c r="Y87" i="17"/>
  <c r="Y100" i="17"/>
  <c r="Y35" i="17"/>
  <c r="Y51" i="17"/>
  <c r="Y60" i="17"/>
  <c r="Y88" i="17"/>
  <c r="Y114" i="17"/>
  <c r="Y32" i="17"/>
  <c r="Y46" i="17"/>
  <c r="Y53" i="17"/>
  <c r="Y47" i="17"/>
  <c r="Y104" i="17"/>
  <c r="Y112" i="17"/>
  <c r="Y65" i="17"/>
  <c r="Y6" i="17"/>
  <c r="Y8" i="17"/>
  <c r="Y38" i="17"/>
  <c r="Y41" i="17"/>
  <c r="Y42" i="17"/>
  <c r="Y70" i="17"/>
  <c r="Y73" i="17"/>
  <c r="Y76" i="17"/>
  <c r="Y77" i="17"/>
  <c r="Y78" i="17"/>
  <c r="Y79" i="17"/>
  <c r="Y80" i="17"/>
  <c r="Y84" i="17"/>
  <c r="Y86" i="17"/>
  <c r="Y89" i="17"/>
  <c r="Y92" i="17"/>
  <c r="Y93" i="17"/>
  <c r="Y99" i="17"/>
  <c r="Y101" i="17"/>
  <c r="Y106" i="17"/>
  <c r="Y107" i="17"/>
  <c r="Y109" i="17"/>
  <c r="Y110" i="17"/>
  <c r="Y116" i="17"/>
  <c r="Y66" i="17"/>
  <c r="Y75" i="17"/>
  <c r="Y102" i="17"/>
  <c r="Y105" i="17"/>
  <c r="Y90" i="17"/>
  <c r="Y20" i="17"/>
  <c r="Y61" i="17"/>
  <c r="Y54" i="17"/>
  <c r="Y48" i="17"/>
  <c r="Y49" i="17"/>
  <c r="Y57" i="17"/>
  <c r="Y59" i="17"/>
  <c r="Y113" i="17"/>
  <c r="Y40" i="17"/>
  <c r="Y43" i="17"/>
  <c r="Y67" i="17"/>
  <c r="Y85" i="17"/>
  <c r="Y115" i="17"/>
  <c r="Y50" i="17"/>
  <c r="Y55" i="17"/>
  <c r="Y63" i="17"/>
  <c r="Y5" i="17"/>
  <c r="E13" i="31" l="1"/>
  <c r="E24" i="31"/>
  <c r="E66" i="14"/>
  <c r="E37" i="14"/>
  <c r="E48" i="14"/>
  <c r="E67" i="14"/>
  <c r="E42" i="14"/>
  <c r="E69" i="14"/>
  <c r="E64" i="14"/>
  <c r="E35" i="14"/>
  <c r="E53" i="14"/>
  <c r="E23" i="31"/>
  <c r="E35" i="31"/>
  <c r="E54" i="14"/>
  <c r="E33" i="14"/>
  <c r="E44" i="14"/>
  <c r="E59" i="14"/>
  <c r="E34" i="14"/>
  <c r="E31" i="14"/>
  <c r="E52" i="14"/>
  <c r="E30" i="14"/>
  <c r="E36" i="14"/>
  <c r="E12" i="31"/>
  <c r="E11" i="31" s="1"/>
  <c r="E75" i="14"/>
  <c r="E50" i="14"/>
  <c r="E21" i="14"/>
  <c r="E17" i="14"/>
  <c r="E51" i="14"/>
  <c r="E25" i="14"/>
  <c r="E73" i="14"/>
  <c r="E47" i="14"/>
  <c r="E12" i="14"/>
  <c r="E34" i="31"/>
  <c r="E33" i="31" s="1"/>
  <c r="E71" i="14"/>
  <c r="E45" i="14"/>
  <c r="E65" i="14"/>
  <c r="E72" i="14"/>
  <c r="E46" i="14"/>
  <c r="E6" i="14"/>
  <c r="E68" i="14"/>
  <c r="E43" i="14"/>
  <c r="E74" i="14"/>
  <c r="I12" i="31"/>
  <c r="I23" i="31"/>
  <c r="I51" i="14"/>
  <c r="I53" i="14"/>
  <c r="I50" i="14"/>
  <c r="I74" i="14"/>
  <c r="I48" i="14"/>
  <c r="I25" i="14"/>
  <c r="I73" i="14"/>
  <c r="I35" i="31"/>
  <c r="I24" i="31"/>
  <c r="I44" i="14"/>
  <c r="I36" i="14"/>
  <c r="I43" i="14"/>
  <c r="I67" i="14"/>
  <c r="I42" i="14"/>
  <c r="I75" i="14"/>
  <c r="I37" i="14"/>
  <c r="I66" i="14"/>
  <c r="I21" i="14"/>
  <c r="I13" i="31"/>
  <c r="I72" i="14"/>
  <c r="I34" i="14"/>
  <c r="I71" i="14"/>
  <c r="I33" i="14"/>
  <c r="I69" i="14"/>
  <c r="I31" i="14"/>
  <c r="I68" i="14"/>
  <c r="I30" i="14"/>
  <c r="I52" i="14"/>
  <c r="I45" i="14"/>
  <c r="I35" i="14"/>
  <c r="I34" i="31"/>
  <c r="I65" i="14"/>
  <c r="I17" i="14"/>
  <c r="I64" i="14"/>
  <c r="I12" i="14"/>
  <c r="I59" i="14"/>
  <c r="I6" i="14"/>
  <c r="I54" i="14"/>
  <c r="I46" i="14"/>
  <c r="I47" i="14"/>
  <c r="M12" i="31"/>
  <c r="M75" i="14"/>
  <c r="M50" i="14"/>
  <c r="M21" i="14"/>
  <c r="M36" i="14"/>
  <c r="M51" i="14"/>
  <c r="M25" i="14"/>
  <c r="M17" i="14"/>
  <c r="M52" i="14"/>
  <c r="M30" i="14"/>
  <c r="M24" i="31"/>
  <c r="M71" i="14"/>
  <c r="M45" i="14"/>
  <c r="M6" i="14"/>
  <c r="M72" i="14"/>
  <c r="M46" i="14"/>
  <c r="M74" i="14"/>
  <c r="M73" i="14"/>
  <c r="M47" i="14"/>
  <c r="M48" i="14"/>
  <c r="M13" i="31"/>
  <c r="M34" i="31"/>
  <c r="M66" i="14"/>
  <c r="M37" i="14"/>
  <c r="M12" i="14"/>
  <c r="M67" i="14"/>
  <c r="M42" i="14"/>
  <c r="M65" i="14"/>
  <c r="M68" i="14"/>
  <c r="M43" i="14"/>
  <c r="M44" i="14"/>
  <c r="M23" i="31"/>
  <c r="M35" i="31"/>
  <c r="M54" i="14"/>
  <c r="M33" i="14"/>
  <c r="M69" i="14"/>
  <c r="M59" i="14"/>
  <c r="M34" i="14"/>
  <c r="M53" i="14"/>
  <c r="M64" i="14"/>
  <c r="M35" i="14"/>
  <c r="M31" i="14"/>
  <c r="U34" i="31"/>
  <c r="U24" i="31"/>
  <c r="U23" i="31"/>
  <c r="U35" i="31"/>
  <c r="U13" i="31"/>
  <c r="U12" i="31"/>
  <c r="U72" i="14"/>
  <c r="U67" i="14"/>
  <c r="U59" i="14"/>
  <c r="U51" i="14"/>
  <c r="U46" i="14"/>
  <c r="U42" i="14"/>
  <c r="U34" i="14"/>
  <c r="U25" i="14"/>
  <c r="U6" i="14"/>
  <c r="U73" i="14"/>
  <c r="U68" i="14"/>
  <c r="U64" i="14"/>
  <c r="U52" i="14"/>
  <c r="U47" i="14"/>
  <c r="U43" i="14"/>
  <c r="U35" i="14"/>
  <c r="U30" i="14"/>
  <c r="U12" i="14"/>
  <c r="U17" i="14"/>
  <c r="U66" i="14"/>
  <c r="U21" i="14"/>
  <c r="U74" i="14"/>
  <c r="U69" i="14"/>
  <c r="U65" i="14"/>
  <c r="U53" i="14"/>
  <c r="U48" i="14"/>
  <c r="U44" i="14"/>
  <c r="U36" i="14"/>
  <c r="U31" i="14"/>
  <c r="U54" i="14"/>
  <c r="U50" i="14"/>
  <c r="U33" i="14"/>
  <c r="U75" i="14"/>
  <c r="U71" i="14"/>
  <c r="U45" i="14"/>
  <c r="U37" i="14"/>
  <c r="S12" i="31"/>
  <c r="S24" i="31"/>
  <c r="S13" i="31"/>
  <c r="S23" i="31"/>
  <c r="S34" i="31"/>
  <c r="S35" i="31"/>
  <c r="S74" i="14"/>
  <c r="S69" i="14"/>
  <c r="S65" i="14"/>
  <c r="S53" i="14"/>
  <c r="S48" i="14"/>
  <c r="S44" i="14"/>
  <c r="S36" i="14"/>
  <c r="S31" i="14"/>
  <c r="S17" i="14"/>
  <c r="S75" i="14"/>
  <c r="S71" i="14"/>
  <c r="S66" i="14"/>
  <c r="S54" i="14"/>
  <c r="S50" i="14"/>
  <c r="S45" i="14"/>
  <c r="S37" i="14"/>
  <c r="S33" i="14"/>
  <c r="S21" i="14"/>
  <c r="S25" i="14"/>
  <c r="S47" i="14"/>
  <c r="S43" i="14"/>
  <c r="S35" i="14"/>
  <c r="S72" i="14"/>
  <c r="S67" i="14"/>
  <c r="S59" i="14"/>
  <c r="S51" i="14"/>
  <c r="S46" i="14"/>
  <c r="S42" i="14"/>
  <c r="S34" i="14"/>
  <c r="S6" i="14"/>
  <c r="S68" i="14"/>
  <c r="S52" i="14"/>
  <c r="S73" i="14"/>
  <c r="S64" i="14"/>
  <c r="S30" i="14"/>
  <c r="S12" i="14"/>
  <c r="J12" i="31"/>
  <c r="J24" i="31"/>
  <c r="J13" i="31"/>
  <c r="J23" i="31"/>
  <c r="J35" i="31"/>
  <c r="J34" i="31"/>
  <c r="J74" i="14"/>
  <c r="J69" i="14"/>
  <c r="J65" i="14"/>
  <c r="J53" i="14"/>
  <c r="J48" i="14"/>
  <c r="J44" i="14"/>
  <c r="J36" i="14"/>
  <c r="J31" i="14"/>
  <c r="J17" i="14"/>
  <c r="J75" i="14"/>
  <c r="J71" i="14"/>
  <c r="J66" i="14"/>
  <c r="J54" i="14"/>
  <c r="J50" i="14"/>
  <c r="J45" i="14"/>
  <c r="J37" i="14"/>
  <c r="J33" i="14"/>
  <c r="J21" i="14"/>
  <c r="J6" i="14"/>
  <c r="J68" i="14"/>
  <c r="J47" i="14"/>
  <c r="J43" i="14"/>
  <c r="J72" i="14"/>
  <c r="J67" i="14"/>
  <c r="J59" i="14"/>
  <c r="J51" i="14"/>
  <c r="J46" i="14"/>
  <c r="J42" i="14"/>
  <c r="J34" i="14"/>
  <c r="J25" i="14"/>
  <c r="J52" i="14"/>
  <c r="J12" i="14"/>
  <c r="J73" i="14"/>
  <c r="J64" i="14"/>
  <c r="J35" i="14"/>
  <c r="J30" i="14"/>
  <c r="H35" i="31"/>
  <c r="H34" i="31"/>
  <c r="H12" i="31"/>
  <c r="H24" i="31"/>
  <c r="H23" i="31"/>
  <c r="H13" i="31"/>
  <c r="H73" i="14"/>
  <c r="H68" i="14"/>
  <c r="H64" i="14"/>
  <c r="H52" i="14"/>
  <c r="H47" i="14"/>
  <c r="H43" i="14"/>
  <c r="H35" i="14"/>
  <c r="H30" i="14"/>
  <c r="H12" i="14"/>
  <c r="H6" i="14"/>
  <c r="H74" i="14"/>
  <c r="H69" i="14"/>
  <c r="H65" i="14"/>
  <c r="H53" i="14"/>
  <c r="H48" i="14"/>
  <c r="H44" i="14"/>
  <c r="H36" i="14"/>
  <c r="H31" i="14"/>
  <c r="H17" i="14"/>
  <c r="H21" i="14"/>
  <c r="H67" i="14"/>
  <c r="H25" i="14"/>
  <c r="H75" i="14"/>
  <c r="H71" i="14"/>
  <c r="H66" i="14"/>
  <c r="H54" i="14"/>
  <c r="H50" i="14"/>
  <c r="H45" i="14"/>
  <c r="H37" i="14"/>
  <c r="H33" i="14"/>
  <c r="H59" i="14"/>
  <c r="H34" i="14"/>
  <c r="H72" i="14"/>
  <c r="H51" i="14"/>
  <c r="H46" i="14"/>
  <c r="H42" i="14"/>
  <c r="D43" i="14"/>
  <c r="D42" i="14"/>
  <c r="D37" i="14"/>
  <c r="D36" i="14"/>
  <c r="D33" i="14"/>
  <c r="D31" i="14"/>
  <c r="D30" i="14"/>
  <c r="D25" i="14"/>
  <c r="D21" i="14"/>
  <c r="D17" i="14"/>
  <c r="D12" i="14"/>
  <c r="D35" i="14"/>
  <c r="D34" i="14"/>
  <c r="D6" i="14"/>
  <c r="D24" i="31"/>
  <c r="D23" i="31"/>
  <c r="D46" i="14"/>
  <c r="D51" i="14"/>
  <c r="D59" i="14"/>
  <c r="D67" i="14"/>
  <c r="D72" i="14"/>
  <c r="D50" i="14"/>
  <c r="D66" i="14"/>
  <c r="D13" i="31"/>
  <c r="D12" i="31"/>
  <c r="D47" i="14"/>
  <c r="D52" i="14"/>
  <c r="D64" i="14"/>
  <c r="D68" i="14"/>
  <c r="D73" i="14"/>
  <c r="D45" i="14"/>
  <c r="D54" i="14"/>
  <c r="D75" i="14"/>
  <c r="D35" i="31"/>
  <c r="D44" i="14"/>
  <c r="D48" i="14"/>
  <c r="D53" i="14"/>
  <c r="D65" i="14"/>
  <c r="D69" i="14"/>
  <c r="D74" i="14"/>
  <c r="D34" i="31"/>
  <c r="D71" i="14"/>
  <c r="F13" i="31"/>
  <c r="F23" i="31"/>
  <c r="F24" i="31"/>
  <c r="F12" i="31"/>
  <c r="F35" i="31"/>
  <c r="F34" i="31"/>
  <c r="F75" i="14"/>
  <c r="F71" i="14"/>
  <c r="F66" i="14"/>
  <c r="F54" i="14"/>
  <c r="F74" i="14"/>
  <c r="F69" i="14"/>
  <c r="F65" i="14"/>
  <c r="F53" i="14"/>
  <c r="F48" i="14"/>
  <c r="F44" i="14"/>
  <c r="F36" i="14"/>
  <c r="F31" i="14"/>
  <c r="F17" i="14"/>
  <c r="F12" i="14"/>
  <c r="F45" i="14"/>
  <c r="F73" i="14"/>
  <c r="F68" i="14"/>
  <c r="F64" i="14"/>
  <c r="F52" i="14"/>
  <c r="F47" i="14"/>
  <c r="F43" i="14"/>
  <c r="F35" i="14"/>
  <c r="F30" i="14"/>
  <c r="F33" i="14"/>
  <c r="F21" i="14"/>
  <c r="F72" i="14"/>
  <c r="F67" i="14"/>
  <c r="F59" i="14"/>
  <c r="F51" i="14"/>
  <c r="F46" i="14"/>
  <c r="F42" i="14"/>
  <c r="F34" i="14"/>
  <c r="F25" i="14"/>
  <c r="F6" i="14"/>
  <c r="F50" i="14"/>
  <c r="F37" i="14"/>
  <c r="E22" i="31" l="1"/>
  <c r="E49" i="14"/>
  <c r="E58" i="14"/>
  <c r="E5" i="14"/>
  <c r="E32" i="14"/>
  <c r="E41" i="14"/>
  <c r="E70" i="14"/>
  <c r="I33" i="31"/>
  <c r="M22" i="31"/>
  <c r="I70" i="14"/>
  <c r="I58" i="14"/>
  <c r="I41" i="14"/>
  <c r="I5" i="14"/>
  <c r="I22" i="31"/>
  <c r="I32" i="14"/>
  <c r="I49" i="14"/>
  <c r="I11" i="31"/>
  <c r="M70" i="14"/>
  <c r="M32" i="14"/>
  <c r="M41" i="14"/>
  <c r="M49" i="14"/>
  <c r="M33" i="31"/>
  <c r="M5" i="14"/>
  <c r="M58" i="14"/>
  <c r="M11" i="31"/>
  <c r="F49" i="14"/>
  <c r="F5" i="14"/>
  <c r="D70" i="14"/>
  <c r="D49" i="14"/>
  <c r="H32" i="14"/>
  <c r="J41" i="14"/>
  <c r="S5" i="14"/>
  <c r="H58" i="14"/>
  <c r="F58" i="14"/>
  <c r="F32" i="14"/>
  <c r="H41" i="14"/>
  <c r="H70" i="14"/>
  <c r="J49" i="14"/>
  <c r="S41" i="14"/>
  <c r="U70" i="14"/>
  <c r="U41" i="14"/>
  <c r="F41" i="14"/>
  <c r="D58" i="14"/>
  <c r="H49" i="14"/>
  <c r="J58" i="14"/>
  <c r="J32" i="14"/>
  <c r="S70" i="14"/>
  <c r="U5" i="14"/>
  <c r="F70" i="14"/>
  <c r="C6" i="14"/>
  <c r="D5" i="14"/>
  <c r="D41" i="14"/>
  <c r="H5" i="14"/>
  <c r="S49" i="14"/>
  <c r="U32" i="14"/>
  <c r="D32" i="14"/>
  <c r="J5" i="14"/>
  <c r="J70" i="14"/>
  <c r="S58" i="14"/>
  <c r="S32" i="14"/>
  <c r="U49" i="14"/>
  <c r="U58" i="14"/>
  <c r="H22" i="31"/>
  <c r="H33" i="31"/>
  <c r="D22" i="31"/>
  <c r="J22" i="31"/>
  <c r="S11" i="31"/>
  <c r="U22" i="31"/>
  <c r="S33" i="31"/>
  <c r="C35" i="31"/>
  <c r="J33" i="31"/>
  <c r="S22" i="31"/>
  <c r="U11" i="31"/>
  <c r="C24" i="31"/>
  <c r="H11" i="31"/>
  <c r="J11" i="31"/>
  <c r="U33" i="31"/>
  <c r="C36" i="14"/>
  <c r="C13" i="31"/>
  <c r="D33" i="31"/>
  <c r="D11" i="31"/>
  <c r="F11" i="31"/>
  <c r="C12" i="31"/>
  <c r="F33" i="31"/>
  <c r="C34" i="31"/>
  <c r="F22" i="31"/>
  <c r="C23" i="31"/>
  <c r="C44" i="14"/>
  <c r="C72" i="14"/>
  <c r="C65" i="14"/>
  <c r="C34" i="14"/>
  <c r="C17" i="14"/>
  <c r="C35" i="14"/>
  <c r="C21" i="14"/>
  <c r="C37" i="14"/>
  <c r="C54" i="14"/>
  <c r="C73" i="14"/>
  <c r="C31" i="14"/>
  <c r="C30" i="14"/>
  <c r="C25" i="14"/>
  <c r="C52" i="14"/>
  <c r="C12" i="14"/>
  <c r="C33" i="14"/>
  <c r="C59" i="14"/>
  <c r="K40" i="14"/>
  <c r="C45" i="14"/>
  <c r="C74" i="14"/>
  <c r="C69" i="14"/>
  <c r="C53" i="14"/>
  <c r="C68" i="14"/>
  <c r="C43" i="14"/>
  <c r="C48" i="14"/>
  <c r="C51" i="14"/>
  <c r="C50" i="14"/>
  <c r="C46" i="14"/>
  <c r="C67" i="14"/>
  <c r="C47" i="14"/>
  <c r="C66" i="14"/>
  <c r="C71" i="14"/>
  <c r="C75" i="14"/>
  <c r="C64" i="14"/>
  <c r="C42" i="14"/>
  <c r="E57" i="14" l="1"/>
  <c r="E8" i="32" s="1"/>
  <c r="E4" i="14"/>
  <c r="C8" i="32" s="1"/>
  <c r="M4" i="14"/>
  <c r="C19" i="32" s="1"/>
  <c r="M57" i="14"/>
  <c r="E19" i="32" s="1"/>
  <c r="C5" i="14"/>
  <c r="C20" i="12" s="1"/>
  <c r="C66" i="12" s="1"/>
  <c r="U57" i="14"/>
  <c r="C22" i="31"/>
  <c r="D28" i="12" s="1"/>
  <c r="D74" i="12" s="1"/>
  <c r="D77" i="12" s="1"/>
  <c r="C11" i="31"/>
  <c r="C28" i="12" s="1"/>
  <c r="C33" i="31"/>
  <c r="E28" i="12" s="1"/>
  <c r="E74" i="12" s="1"/>
  <c r="E77" i="12" s="1"/>
  <c r="J4" i="14"/>
  <c r="S4" i="14"/>
  <c r="D17" i="32"/>
  <c r="Q40" i="14"/>
  <c r="I57" i="14"/>
  <c r="E15" i="32" s="1"/>
  <c r="U4" i="14"/>
  <c r="S57" i="14"/>
  <c r="Q57" i="14"/>
  <c r="F4" i="14"/>
  <c r="J57" i="14"/>
  <c r="H57" i="14"/>
  <c r="D4" i="14"/>
  <c r="I4" i="14"/>
  <c r="R40" i="14"/>
  <c r="R57" i="14"/>
  <c r="Q4" i="14"/>
  <c r="H4" i="14"/>
  <c r="F57" i="14"/>
  <c r="D57" i="14"/>
  <c r="C32" i="14"/>
  <c r="C21" i="12" s="1"/>
  <c r="C67" i="12" s="1"/>
  <c r="C74" i="12" l="1"/>
  <c r="C77" i="12" s="1"/>
  <c r="C31" i="12"/>
  <c r="C26" i="32"/>
  <c r="C25" i="32" s="1"/>
  <c r="C7" i="32"/>
  <c r="C6" i="32" s="1"/>
  <c r="C4" i="14"/>
  <c r="C65" i="12"/>
  <c r="D24" i="32"/>
  <c r="E26" i="32"/>
  <c r="E25" i="32" s="1"/>
  <c r="C16" i="32"/>
  <c r="C13" i="32"/>
  <c r="C11" i="32" s="1"/>
  <c r="C15" i="32"/>
  <c r="E16" i="32"/>
  <c r="C29" i="32"/>
  <c r="C28" i="32" s="1"/>
  <c r="E10" i="32"/>
  <c r="E9" i="32" s="1"/>
  <c r="C23" i="32"/>
  <c r="C10" i="32"/>
  <c r="C9" i="32" s="1"/>
  <c r="E7" i="32"/>
  <c r="E6" i="32" s="1"/>
  <c r="E24" i="32"/>
  <c r="E13" i="32"/>
  <c r="E11" i="32" s="1"/>
  <c r="E23" i="32"/>
  <c r="D23" i="32"/>
  <c r="D40" i="14"/>
  <c r="S40" i="14"/>
  <c r="M40" i="14"/>
  <c r="H40" i="14"/>
  <c r="E40" i="14"/>
  <c r="J40" i="14" l="1"/>
  <c r="D16" i="32" s="1"/>
  <c r="U40" i="14"/>
  <c r="D29" i="32" s="1"/>
  <c r="D28" i="32" s="1"/>
  <c r="D13" i="32"/>
  <c r="D11" i="32" s="1"/>
  <c r="D8" i="32"/>
  <c r="D26" i="32"/>
  <c r="D7" i="32"/>
  <c r="D19" i="32"/>
  <c r="C14" i="32"/>
  <c r="C5" i="32" s="1"/>
  <c r="F40" i="14"/>
  <c r="L40" i="14"/>
  <c r="T40" i="14"/>
  <c r="I40" i="14"/>
  <c r="N40" i="14"/>
  <c r="V40" i="14"/>
  <c r="C58" i="14"/>
  <c r="E20" i="12" s="1"/>
  <c r="E66" i="12" s="1"/>
  <c r="C70" i="14"/>
  <c r="E21" i="12" s="1"/>
  <c r="E67" i="12" s="1"/>
  <c r="C41" i="14"/>
  <c r="D20" i="12" s="1"/>
  <c r="D66" i="12" s="1"/>
  <c r="C49" i="14"/>
  <c r="D21" i="12" s="1"/>
  <c r="D67" i="12" s="1"/>
  <c r="D65" i="12" l="1"/>
  <c r="D6" i="32"/>
  <c r="E65" i="12"/>
  <c r="D27" i="32"/>
  <c r="D25" i="32" s="1"/>
  <c r="D20" i="32"/>
  <c r="D18" i="32"/>
  <c r="D31" i="32"/>
  <c r="D30" i="32" s="1"/>
  <c r="D15" i="32"/>
  <c r="D10" i="32"/>
  <c r="D9" i="32" s="1"/>
  <c r="C40" i="14"/>
  <c r="C57" i="14"/>
  <c r="D14" i="32" l="1"/>
  <c r="D5" i="32" s="1"/>
  <c r="C19" i="12"/>
  <c r="E31" i="12" l="1"/>
  <c r="D31" i="12" l="1"/>
  <c r="E64" i="13"/>
  <c r="E47" i="13" s="1"/>
  <c r="E44" i="13"/>
  <c r="E33" i="13" s="1"/>
  <c r="E30" i="13"/>
  <c r="U64" i="13"/>
  <c r="U47" i="13" s="1"/>
  <c r="T64" i="13"/>
  <c r="T47" i="13" s="1"/>
  <c r="S64" i="13"/>
  <c r="S47" i="13" s="1"/>
  <c r="N64" i="13"/>
  <c r="N47" i="13" s="1"/>
  <c r="M64" i="13"/>
  <c r="M47" i="13" s="1"/>
  <c r="L64" i="13"/>
  <c r="L47" i="13" s="1"/>
  <c r="J64" i="13"/>
  <c r="J47" i="13" s="1"/>
  <c r="I64" i="13"/>
  <c r="I47" i="13" s="1"/>
  <c r="H64" i="13"/>
  <c r="H47" i="13" s="1"/>
  <c r="F64" i="13"/>
  <c r="F47" i="13" s="1"/>
  <c r="D64" i="13"/>
  <c r="D47" i="13" s="1"/>
  <c r="U44" i="13"/>
  <c r="U33" i="13" s="1"/>
  <c r="T44" i="13"/>
  <c r="T33" i="13" s="1"/>
  <c r="S44" i="13"/>
  <c r="S33" i="13" s="1"/>
  <c r="N44" i="13"/>
  <c r="N33" i="13" s="1"/>
  <c r="M44" i="13"/>
  <c r="M33" i="13" s="1"/>
  <c r="L44" i="13"/>
  <c r="L33" i="13" s="1"/>
  <c r="J44" i="13"/>
  <c r="J33" i="13" s="1"/>
  <c r="I44" i="13"/>
  <c r="I33" i="13" s="1"/>
  <c r="H44" i="13"/>
  <c r="H33" i="13" s="1"/>
  <c r="F44" i="13"/>
  <c r="F33" i="13" s="1"/>
  <c r="U30" i="13"/>
  <c r="U8" i="13" s="1"/>
  <c r="T30" i="13"/>
  <c r="T8" i="13" s="1"/>
  <c r="S30" i="13"/>
  <c r="S8" i="13" s="1"/>
  <c r="N30" i="13"/>
  <c r="N8" i="13" s="1"/>
  <c r="M30" i="13"/>
  <c r="M8" i="13" s="1"/>
  <c r="L30" i="13"/>
  <c r="L8" i="13" s="1"/>
  <c r="J30" i="13"/>
  <c r="J8" i="13" s="1"/>
  <c r="I30" i="13"/>
  <c r="H30" i="13"/>
  <c r="F30" i="13"/>
  <c r="E19" i="12"/>
  <c r="D19" i="12"/>
  <c r="E14" i="32" l="1"/>
  <c r="E5" i="32" s="1"/>
  <c r="C33" i="13"/>
  <c r="F8" i="13"/>
  <c r="E8" i="13"/>
  <c r="C30" i="13"/>
  <c r="C18" i="12" s="1"/>
  <c r="C64" i="12" s="1"/>
  <c r="C62" i="12" s="1"/>
  <c r="I8" i="13"/>
  <c r="H8" i="13"/>
  <c r="C64" i="13"/>
  <c r="E18" i="12" s="1"/>
  <c r="E64" i="12" s="1"/>
  <c r="C44" i="13"/>
  <c r="D18" i="12" s="1"/>
  <c r="D64" i="12" s="1"/>
  <c r="C61" i="13"/>
  <c r="E17" i="12" s="1"/>
  <c r="E63" i="12" s="1"/>
  <c r="C41" i="13"/>
  <c r="D17" i="12" s="1"/>
  <c r="D63" i="12" s="1"/>
  <c r="D62" i="12" l="1"/>
  <c r="D68" i="12" s="1"/>
  <c r="D79" i="12" s="1"/>
  <c r="E62" i="12"/>
  <c r="E68" i="12" s="1"/>
  <c r="E79" i="12" s="1"/>
  <c r="C8" i="13"/>
  <c r="C68" i="12"/>
  <c r="C79" i="12" s="1"/>
  <c r="C47" i="13"/>
  <c r="D16" i="12"/>
  <c r="D22" i="12" s="1"/>
  <c r="D33" i="12" s="1"/>
  <c r="E16" i="12"/>
  <c r="E22" i="12" s="1"/>
  <c r="E33" i="12" s="1"/>
  <c r="C16" i="12"/>
  <c r="C22" i="12" s="1"/>
  <c r="C33" i="12" s="1"/>
  <c r="K7" i="12" l="1"/>
  <c r="K8" i="12" s="1"/>
  <c r="K9" i="12" s="1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39" i="12" s="1"/>
  <c r="K40" i="12" s="1"/>
  <c r="K41" i="12" s="1"/>
  <c r="K42" i="12" s="1"/>
  <c r="K43" i="12" s="1"/>
  <c r="K44" i="12" s="1"/>
  <c r="K45" i="12" s="1"/>
  <c r="K46" i="12" s="1"/>
  <c r="K47" i="12" s="1"/>
  <c r="K48" i="12" s="1"/>
  <c r="K49" i="12" s="1"/>
  <c r="K50" i="12" s="1"/>
  <c r="K51" i="12" s="1"/>
  <c r="K52" i="12" s="1"/>
  <c r="K53" i="12" s="1"/>
  <c r="K54" i="12" s="1"/>
  <c r="K55" i="12" s="1"/>
  <c r="K56" i="12" s="1"/>
  <c r="K57" i="12" s="1"/>
  <c r="K58" i="12" s="1"/>
  <c r="K59" i="12" s="1"/>
  <c r="K60" i="12" s="1"/>
  <c r="K61" i="12" s="1"/>
  <c r="K62" i="12" s="1"/>
  <c r="K63" i="12" s="1"/>
  <c r="K64" i="12" s="1"/>
  <c r="K65" i="12" s="1"/>
  <c r="K66" i="12" s="1"/>
  <c r="K67" i="12" s="1"/>
  <c r="K68" i="12" s="1"/>
  <c r="K69" i="12" s="1"/>
  <c r="K70" i="12" s="1"/>
  <c r="K71" i="12" s="1"/>
  <c r="K72" i="12" s="1"/>
  <c r="K73" i="12" s="1"/>
  <c r="K74" i="12" s="1"/>
  <c r="K75" i="12" s="1"/>
  <c r="K76" i="12" s="1"/>
  <c r="K77" i="12" s="1"/>
  <c r="K78" i="12" s="1"/>
  <c r="K79" i="12" s="1"/>
  <c r="K80" i="12" s="1"/>
  <c r="K81" i="12" s="1"/>
  <c r="K82" i="12" s="1"/>
  <c r="K83" i="12" s="1"/>
  <c r="K84" i="12" s="1"/>
  <c r="K85" i="12" s="1"/>
  <c r="K86" i="12" s="1"/>
  <c r="K87" i="12" s="1"/>
  <c r="K88" i="12" s="1"/>
  <c r="K89" i="12" s="1"/>
  <c r="K90" i="12" s="1"/>
  <c r="K91" i="12" s="1"/>
  <c r="K92" i="12" s="1"/>
  <c r="K93" i="12" s="1"/>
  <c r="K94" i="12" s="1"/>
  <c r="K95" i="12" s="1"/>
  <c r="K96" i="12" s="1"/>
  <c r="K97" i="12" s="1"/>
  <c r="K98" i="12" s="1"/>
  <c r="K99" i="12" s="1"/>
  <c r="K100" i="12" s="1"/>
  <c r="K101" i="12" s="1"/>
  <c r="K102" i="12" s="1"/>
  <c r="K103" i="12" s="1"/>
  <c r="K104" i="12" s="1"/>
  <c r="K105" i="12" s="1"/>
  <c r="K106" i="12" s="1"/>
  <c r="K107" i="12" s="1"/>
  <c r="K108" i="12" s="1"/>
  <c r="K109" i="12" s="1"/>
  <c r="K110" i="12" s="1"/>
  <c r="K111" i="12" s="1"/>
  <c r="K112" i="12" s="1"/>
  <c r="K113" i="12" s="1"/>
  <c r="K114" i="12" s="1"/>
  <c r="K115" i="12" s="1"/>
  <c r="K116" i="12" s="1"/>
  <c r="K117" i="12" s="1"/>
  <c r="K118" i="12" s="1"/>
  <c r="K119" i="12" s="1"/>
  <c r="K120" i="12" s="1"/>
  <c r="K121" i="12" s="1"/>
  <c r="K122" i="12" s="1"/>
  <c r="K123" i="12" s="1"/>
  <c r="K124" i="12" s="1"/>
  <c r="K125" i="12" s="1"/>
  <c r="K126" i="12" s="1"/>
  <c r="K127" i="12" s="1"/>
  <c r="K128" i="12" s="1"/>
  <c r="K129" i="12" s="1"/>
  <c r="K130" i="12" s="1"/>
  <c r="K131" i="12" s="1"/>
  <c r="K132" i="12" s="1"/>
  <c r="K133" i="12" s="1"/>
  <c r="K134" i="12" s="1"/>
  <c r="K135" i="12" s="1"/>
  <c r="K136" i="12" s="1"/>
  <c r="K137" i="12" s="1"/>
  <c r="K138" i="12" s="1"/>
</calcChain>
</file>

<file path=xl/sharedStrings.xml><?xml version="1.0" encoding="utf-8"?>
<sst xmlns="http://schemas.openxmlformats.org/spreadsheetml/2006/main" count="13862" uniqueCount="5285">
  <si>
    <t>RKP-NAZIV PRORAČUNSKOG KORISNIKA</t>
  </si>
  <si>
    <t>2006 SVEUČILIŠTE U ZAGREBU - KINEZIOLOŠKI FAKULTET</t>
  </si>
  <si>
    <t>MJESTO I DATUM</t>
  </si>
  <si>
    <t>Zagreb, 28.08.2023.</t>
  </si>
  <si>
    <t>OSOBA ZA KONTAKTIRANJE</t>
  </si>
  <si>
    <t>Gordana Mazalović</t>
  </si>
  <si>
    <t>R.
BR.</t>
  </si>
  <si>
    <t>RKPNaziv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</si>
  <si>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</si>
  <si>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</si>
  <si>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</si>
  <si>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</si>
  <si>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</si>
  <si>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</si>
  <si>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</si>
  <si>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Tip</t>
  </si>
  <si>
    <t>Glava</t>
  </si>
  <si>
    <t>TELEFON ZA KONTAKT</t>
  </si>
  <si>
    <t>098/821-074</t>
  </si>
  <si>
    <t>odaberite -</t>
  </si>
  <si>
    <t>-</t>
  </si>
  <si>
    <t>E-MAIL ZA KONTAKT</t>
  </si>
  <si>
    <t>gordana.mazalovic@kif.hr</t>
  </si>
  <si>
    <t xml:space="preserve">MINISTARSTVO ZNANOSTI I OBRAZOVANJA </t>
  </si>
  <si>
    <t>DONJE SVETICE 38</t>
  </si>
  <si>
    <t>10000 ZAGREB</t>
  </si>
  <si>
    <t>49508397045</t>
  </si>
  <si>
    <t>MZO</t>
  </si>
  <si>
    <t>08005</t>
  </si>
  <si>
    <t>FAKULTET ORGANIZACIJE I INFORMATIKE U VARAŽDINU</t>
  </si>
  <si>
    <t>SVEUČILIŠTE U ZAGREBU</t>
  </si>
  <si>
    <t>PAVLINSKA 2</t>
  </si>
  <si>
    <t>42000 VARAŽDIN</t>
  </si>
  <si>
    <t>02024882310</t>
  </si>
  <si>
    <t>Sveučilišta i veleučilišta u Republici Hrvatskoj</t>
  </si>
  <si>
    <t>08006</t>
  </si>
  <si>
    <t>IZVRŠENJE FINANCIJSKOG PLANA
ZA I-VI 2023.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</si>
  <si>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</si>
  <si>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</si>
  <si>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</si>
  <si>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</si>
  <si>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</si>
  <si>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SVEUČILIŠTE J. J. STROSSMAYERA U OSIJEKU</t>
  </si>
  <si>
    <t>SVEUČILIŠTE J.J STROSSMAYERA U OSIJEKU</t>
  </si>
  <si>
    <t>TRG SV. TROJSTVA 3</t>
  </si>
  <si>
    <t>31000 OSIJEK</t>
  </si>
  <si>
    <t>78808975734</t>
  </si>
  <si>
    <t>OPĆI DIO</t>
  </si>
  <si>
    <t>SVEUČILIŠTE J. J. STROSSMAYERA U OSIJEKU - AKADEMIJA ZA UMJETNOST I KULTURU U OSIJEKU</t>
  </si>
  <si>
    <t>KRALJA PETRA SVAČIĆA 1/F</t>
  </si>
  <si>
    <t>60277424315</t>
  </si>
  <si>
    <t>SVEUČILIŠTE J. J. STROSSMAYERA U OSIJEKU - EKONOMSKI FAKULTET</t>
  </si>
  <si>
    <t>TRG LJUDEVITA GAJA 7</t>
  </si>
  <si>
    <t>52778515544</t>
  </si>
  <si>
    <t>A) SAŽETAK RAČUNA PRIHODA I RASHODA</t>
  </si>
  <si>
    <t>SVEUČILIŠTE J. J. STROSSMAYERA U OSIJEKU - FAKULTET AGROBIOTEHNIČKIH ZNANOSTI OSIJEK</t>
  </si>
  <si>
    <t>VLADIMIRA PRELOGA 1</t>
  </si>
  <si>
    <t>98816779821</t>
  </si>
  <si>
    <t>u EUR</t>
  </si>
  <si>
    <t>SVEUČILIŠTE J. J. STROSSMAYERA U OSIJEKU - FAKULTET ELEKTROTEHNIKE, RAČUNARSTVA I INFORMACIJSKIH TEHNOLOGIJA OSIJEK</t>
  </si>
  <si>
    <t>KNEZA TRPIMIRA 2 B</t>
  </si>
  <si>
    <t>95494259952</t>
  </si>
  <si>
    <t>Izvršenje I-VI 2022</t>
  </si>
  <si>
    <t>Plan 2023 (Rebalans)</t>
  </si>
  <si>
    <t>Izvršenje I-VI 2023</t>
  </si>
  <si>
    <t>SVEUČILIŠTE J. J. STROSSMAYERA U OSIJEKU - FAKULTET ZA DENTALNU MEDICINU I ZDRAVSTVO</t>
  </si>
  <si>
    <t>CRKVENA 21</t>
  </si>
  <si>
    <t>83830458507</t>
  </si>
  <si>
    <t>PRIHODI UKUPNO</t>
  </si>
  <si>
    <t>SVEUČILIŠTE J. J. STROSSMAYERA U OSIJEKU - FAKULTET ZA ODGOJNE I OBRAZOVNE ZNANOSTI</t>
  </si>
  <si>
    <t>CARA HADRIJANA 10</t>
  </si>
  <si>
    <t>28082679513</t>
  </si>
  <si>
    <t>PRIHODI POSLOVANJA</t>
  </si>
  <si>
    <t>SVEUČILIŠTE J. J. STROSSMAYERA U OSIJEKU - FILOZOFSKI FAKULTET</t>
  </si>
  <si>
    <t>LORENZA JAGERA 9</t>
  </si>
  <si>
    <t>58868871646</t>
  </si>
  <si>
    <t>PRIHODI OD NEFINANCIJSKE IMOVINE</t>
  </si>
  <si>
    <t>SVEUČILIŠTE J. J. STROSSMAYERA U OSIJEKU - GRADSKA I SVEUČILIŠNA KNJIŽNICA</t>
  </si>
  <si>
    <t>EUROPSKA AVENIJA 24</t>
  </si>
  <si>
    <t>46627536930</t>
  </si>
  <si>
    <t>RASHODI UKUPNO</t>
  </si>
  <si>
    <t>SVEUČILIŠTE J. J. STROSSMAYERA U OSIJEKU - GRAĐEVINSKI I ARHITEKTONSKI FAKULTET OSIJEK</t>
  </si>
  <si>
    <t>ULICA VLADIMIRA PRELOGA 3</t>
  </si>
  <si>
    <t>04150850819</t>
  </si>
  <si>
    <t>RASHODI  POSLOVANJA</t>
  </si>
  <si>
    <t>SVEUČILIŠTE J. J. STROSSMAYERA U OSIJEKU - KATOLIČKI BOGOSLOVNI FAKULTET U ĐAKOVU</t>
  </si>
  <si>
    <t xml:space="preserve">PETRA PRERADOVIĆA 17 </t>
  </si>
  <si>
    <t>31400 ĐAKOVO</t>
  </si>
  <si>
    <t>05384220316</t>
  </si>
  <si>
    <t>RASHODI ZA NEFINANCIJSKU IMOVINU</t>
  </si>
  <si>
    <t>SVEUČILIŠTE J. J. STROSSMAYERA U OSIJEKU - KINEZIOLOŠKI FAKULTET OSIJEK</t>
  </si>
  <si>
    <t>DRINSKA 16/A</t>
  </si>
  <si>
    <t>70788591483</t>
  </si>
  <si>
    <t>RAZLIKA - VIŠAK / MANJAK</t>
  </si>
  <si>
    <t>SVEUČILIŠTE J. J. STROSSMAYERA U OSIJEKU - MEDICINSKI FAKULTET</t>
  </si>
  <si>
    <t>HUTTLEROVA 4</t>
  </si>
  <si>
    <t>16214165873</t>
  </si>
  <si>
    <t>SVEUČILIŠTE J. J. STROSSMAYERA U OSIJEKU - PRAVNI FAKULTET</t>
  </si>
  <si>
    <t>STJEPANA RADIĆA 13</t>
  </si>
  <si>
    <t>26416570803</t>
  </si>
  <si>
    <t>B) SAŽETAK RAČUNA FINANCIRANJA</t>
  </si>
  <si>
    <t>SVEUČILIŠTE J. J. STROSSMAYERA U OSIJEKU - PREHRAMBENO TEHNOLOŠKI FAKULTET</t>
  </si>
  <si>
    <t>FRANJE KUHAČA 18</t>
  </si>
  <si>
    <t>96371000697</t>
  </si>
  <si>
    <t>SVEUČILIŠTE J. J. STROSSMAYERA U OSIJEKU - FAKULTET TURIZMA I RURALNOG RAZVOJA U POŽEGI</t>
  </si>
  <si>
    <t>VUKOVARSKA 17</t>
  </si>
  <si>
    <t>11614501047</t>
  </si>
  <si>
    <t>SVEUČILIŠTE JURJA DOBRILE U PULI</t>
  </si>
  <si>
    <t>SVEUČILIŠTE U PULI</t>
  </si>
  <si>
    <t>ZAGREBAČKA 30</t>
  </si>
  <si>
    <t>52100 PULA</t>
  </si>
  <si>
    <t>61738073226</t>
  </si>
  <si>
    <t>PRIMICI OD FINANCIJSKE IMOVINE I ZADUŽIVANJA</t>
  </si>
  <si>
    <t>SVEUČILIŠTE SJEVER</t>
  </si>
  <si>
    <t>TRG DR. ŽARKA DOLINARA 1</t>
  </si>
  <si>
    <t>48000 KOPRIVNICA</t>
  </si>
  <si>
    <t>59624928052</t>
  </si>
  <si>
    <t>IZDACI ZA FINANCIJSKU IMOVINU I OTPLATE ZAJMOVA</t>
  </si>
  <si>
    <t>SVEUČILIŠTE U DUBROVNIKU</t>
  </si>
  <si>
    <t>BRANITELJA DUBROVNIKA 29</t>
  </si>
  <si>
    <t>20000 DUBROVNIK</t>
  </si>
  <si>
    <t>01338491514</t>
  </si>
  <si>
    <t>DONOS</t>
  </si>
  <si>
    <t>PRIJENOS SREDSTAVA IZ PRETHODNE GODINE</t>
  </si>
  <si>
    <t>SVEUČILIŠTE U RIJECI</t>
  </si>
  <si>
    <t>TRG BRAĆE MAŽURANIĆA 10</t>
  </si>
  <si>
    <t>51000 RIJEKA</t>
  </si>
  <si>
    <t>64218323816</t>
  </si>
  <si>
    <t>ODNOS</t>
  </si>
  <si>
    <t>PRIJENOS SREDSTAVA U SLJEDEĆU GODINU</t>
  </si>
  <si>
    <t>SVEUČILIŠTE U RIJECI - AKADEMIJA PRIMJENJENIH UMJETNOSTI</t>
  </si>
  <si>
    <t>SLAVKA KRAUTZEKA 83</t>
  </si>
  <si>
    <t>55704161999</t>
  </si>
  <si>
    <t>NETO FINANCIRANJE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</si>
  <si>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</si>
  <si>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</si>
  <si>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</si>
  <si>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</si>
  <si>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</si>
  <si>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</si>
  <si>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</si>
  <si>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VIŠAK / MANJAK + NETO FINANCIRANJE</t>
  </si>
  <si>
    <t>SVEUČILIŠTE U RIJECI - FAKULTET ZDRAVSTVENIH STUDIJA U RIJECI</t>
  </si>
  <si>
    <t>VIKTORA CARA EMINA 5</t>
  </si>
  <si>
    <t>04052510</t>
  </si>
  <si>
    <t>19213484918</t>
  </si>
  <si>
    <t>SVEUČILIŠTE U RIJECI - FILOZOFSKI FAKULTET</t>
  </si>
  <si>
    <t>SVEUČILIŠNA AVENIJA 4</t>
  </si>
  <si>
    <t>70505505759</t>
  </si>
  <si>
    <t>SVEUČILIŠTE U RIJECI - GRAĐEVINSKI FAKULTET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</si>
  <si>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</si>
  <si>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</si>
  <si>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</si>
  <si>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</si>
  <si>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</si>
  <si>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</si>
  <si>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</si>
  <si>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</si>
  <si>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</si>
  <si>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</si>
  <si>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</si>
  <si>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</si>
  <si>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</si>
  <si>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</si>
  <si>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</si>
  <si>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</si>
  <si>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</si>
  <si>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</si>
  <si>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</si>
  <si>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</si>
  <si>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SLAVONSKOM BRODU</t>
  </si>
  <si>
    <t>TRG IVANE BRLIĆ MAŽURANIĆ 2</t>
  </si>
  <si>
    <t>35000 SLAVONSKI BROD</t>
  </si>
  <si>
    <t>33027834374</t>
  </si>
  <si>
    <t>SVEUČILIŠTE U SPLITU</t>
  </si>
  <si>
    <t>POLJIČKA CESTA 35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</si>
  <si>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</si>
  <si>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</si>
  <si>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</si>
  <si>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</si>
  <si>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</si>
  <si>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</si>
  <si>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</si>
  <si>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</si>
  <si>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FAKULTET GRAĐEVINARSTVA, ARHITEKTURE I GEODEZIJE</t>
  </si>
  <si>
    <t>MATICE HRVATSKE 15</t>
  </si>
  <si>
    <t>83615500218</t>
  </si>
  <si>
    <t>SVEUČILIŠTE U SPLITU - FILOZOFSKI FAKULTET</t>
  </si>
  <si>
    <t>98004523293</t>
  </si>
  <si>
    <t>SVEUČILIŠTE U SPLITU - KATOLIČKI BOGOSLOVNI FAKULTET</t>
  </si>
  <si>
    <t xml:space="preserve">ZRINSKOG FRANKOPANA 19 </t>
  </si>
  <si>
    <t>SVEUČILIŠTE U SPLITU - KEMIJSKO-TEHNOLOŠKI FAKULTET</t>
  </si>
  <si>
    <t>RUĐERA BOŠKOVIĆA 35</t>
  </si>
  <si>
    <t>99401575594</t>
  </si>
  <si>
    <t>SVEUČILIŠTE U SPLITU - KINEZIOLOŠKI FAKULTET</t>
  </si>
  <si>
    <t>NIKOLE TESLE 6</t>
  </si>
  <si>
    <t>57848936921</t>
  </si>
  <si>
    <t>SVEUČILIŠTE U SPLITU - MEDICINSKI FAKULTET</t>
  </si>
  <si>
    <t>ŠOLTANSKA 2</t>
  </si>
  <si>
    <t>02879747067</t>
  </si>
  <si>
    <t>SVEUČILIŠTE U SPLITU - POMORSKI FAKULTET</t>
  </si>
  <si>
    <t>RUĐERA BOŠKOVIĆA 37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</si>
  <si>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</si>
  <si>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</si>
  <si>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</si>
  <si>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</si>
  <si>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</si>
  <si>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RUĐERA BOŠKOVIĆA 33</t>
  </si>
  <si>
    <t>20858497843</t>
  </si>
  <si>
    <t>FINANCIJSKI PLAN
ZA 2023. I PROJEKCIJE ZA 2024. I 2025. GODINU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</si>
  <si>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</si>
  <si>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</si>
  <si>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</si>
  <si>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</si>
  <si>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</si>
  <si>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</si>
  <si>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ZADRU</t>
  </si>
  <si>
    <t>MIHOVILA PAVLINOVIĆA 1</t>
  </si>
  <si>
    <t>23000 ZADAR</t>
  </si>
  <si>
    <t>10839679016</t>
  </si>
  <si>
    <t>TRG REPUBLIKE HRVATSKE 14</t>
  </si>
  <si>
    <t>36612267447</t>
  </si>
  <si>
    <t>SVEUČILIŠTE U ZAGREBU - AGRONOMSKI FAKULTET</t>
  </si>
  <si>
    <t>SVETOŠIMUNSKA CESTA 25</t>
  </si>
  <si>
    <t>76023745044</t>
  </si>
  <si>
    <t>u HRK</t>
  </si>
  <si>
    <t>SVEUČILIŠTE U ZAGREBU - AKADEMIJA DRAMSKE UMJETNOSTI</t>
  </si>
  <si>
    <t>TRG REPUBLIKE HRVATSKE 5</t>
  </si>
  <si>
    <t>52097842295</t>
  </si>
  <si>
    <t>Prijedlog plana 
za 2023.</t>
  </si>
  <si>
    <t>Projekcija plana 
za 2024.</t>
  </si>
  <si>
    <t>Projekcija plana 
za 2025.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</si>
  <si>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</si>
  <si>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</si>
  <si>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</si>
  <si>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</si>
  <si>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</si>
  <si>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</si>
  <si>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</si>
  <si>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</si>
  <si>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</si>
  <si>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</si>
  <si>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 F. KENNEDEYA 6</t>
  </si>
  <si>
    <t>27208467122</t>
  </si>
  <si>
    <t>SVEUČILIŠTE U ZAGREBU - FAKULTET ELEKTROTEHNIKE I RAČUNARSTVA</t>
  </si>
  <si>
    <t>UNSKA 3</t>
  </si>
  <si>
    <t>57029260362</t>
  </si>
  <si>
    <t>SVEUČILIŠTE U ZAGREBU - FAKULTET FILOZOFIJE I RELIGIJSKIH ZNANOSTI</t>
  </si>
  <si>
    <t>JORDANOVAC 110</t>
  </si>
  <si>
    <t>26975482530</t>
  </si>
  <si>
    <t>SVEUČILIŠTE U ZAGREBU - FAKULTET HRVATSKIH STUDIJA</t>
  </si>
  <si>
    <t>BORONGAJSKA CESTA 83D</t>
  </si>
  <si>
    <t>99454315441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</si>
  <si>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</si>
  <si>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</si>
  <si>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</si>
  <si>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</si>
  <si>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</si>
  <si>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</si>
  <si>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</si>
  <si>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</si>
  <si>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</si>
  <si>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</si>
  <si>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</si>
  <si>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</si>
  <si>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</si>
  <si>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</si>
  <si>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</si>
  <si>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</si>
  <si>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</si>
  <si>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</si>
  <si>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</si>
  <si>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 KAČIĆA MIOŠIĆA 26</t>
  </si>
  <si>
    <t>43594593297</t>
  </si>
  <si>
    <t>SVEUČILIŠTE U ZAGREBU - GEOTEHNIČKI FAKULTET</t>
  </si>
  <si>
    <t>HALLEROVA ALEJA 7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</si>
  <si>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</si>
  <si>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</si>
  <si>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</si>
  <si>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</si>
  <si>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</si>
  <si>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</si>
  <si>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</si>
  <si>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 xml:space="preserve">SVEUČILIŠTE U ZAGREBU - KATOLIČKI BOGOSLOVNI FAKULTET </t>
  </si>
  <si>
    <t xml:space="preserve">VLAŠKA 38 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</si>
  <si>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</si>
  <si>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</si>
  <si>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</si>
  <si>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</si>
  <si>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</si>
  <si>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</si>
  <si>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</si>
  <si>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</si>
  <si>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44000 SISAK</t>
  </si>
  <si>
    <t>48006703414</t>
  </si>
  <si>
    <t>SVEUČILIŠTE U ZAGREBU - MUZIČKA AKADEMIJA</t>
  </si>
  <si>
    <t>TRG REPUBLIKE HRVATSKE 12</t>
  </si>
  <si>
    <t>18422925218</t>
  </si>
  <si>
    <t>SVEUČILIŠTE U ZAGREBU - PRAVNI FAKULTET</t>
  </si>
  <si>
    <t>38583303160</t>
  </si>
  <si>
    <t>SVEUČILIŠTE U ZAGREBU - PREHRAMBENO BIOTEHNOLOŠKI FAKULTET</t>
  </si>
  <si>
    <t>PIEROTTIJEVA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</si>
  <si>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</si>
  <si>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</si>
  <si>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</si>
  <si>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</si>
  <si>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</si>
  <si>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99534693762</t>
  </si>
  <si>
    <t>SVEUČILIŠTE U ZAGREBU - STOMATOLOŠKI FAKULTET</t>
  </si>
  <si>
    <t>GUNDULIĆEVA 5</t>
  </si>
  <si>
    <t>70221464726</t>
  </si>
  <si>
    <t>SVEUČILIŠTE U ZAGREBU - FAKULTET ŠUMARSTVA I DRVNE TEHNOLOGIJE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</si>
  <si>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</si>
  <si>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</si>
  <si>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</si>
  <si>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</si>
  <si>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</si>
  <si>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</si>
  <si>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</si>
  <si>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</si>
  <si>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</si>
  <si>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</si>
  <si>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TEHNIČKO VELEUČILIŠTE U ZAGREBU</t>
  </si>
  <si>
    <t>VRBIK 8</t>
  </si>
  <si>
    <t>08814003451</t>
  </si>
  <si>
    <t>VELEUČILIŠTE HRVATSKO ZAGORJE KRAPINA</t>
  </si>
  <si>
    <t>ŠETALIŠTE HRVATSKOG NARODNOG PREPORODA 6</t>
  </si>
  <si>
    <t>49000 KRAPINA</t>
  </si>
  <si>
    <t>16465214888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</si>
  <si>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</si>
  <si>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</si>
  <si>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</si>
  <si>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</si>
  <si>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</si>
  <si>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</si>
  <si>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</si>
  <si>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</si>
  <si>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</si>
  <si>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</si>
  <si>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</si>
  <si>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</si>
  <si>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</si>
  <si>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</si>
  <si>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</si>
  <si>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</si>
  <si>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</si>
  <si>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</si>
  <si>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</si>
  <si>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</si>
  <si>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</si>
  <si>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</si>
  <si>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</si>
  <si>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VELEUČILIŠTE U VIROVITICI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</si>
  <si>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</si>
  <si>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</si>
  <si>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</si>
  <si>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</si>
  <si>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</si>
  <si>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</si>
  <si>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</si>
  <si>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</si>
  <si>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</si>
  <si>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</si>
  <si>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</si>
  <si>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</si>
  <si>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</si>
  <si>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</si>
  <si>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</si>
  <si>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 xml:space="preserve">HRVATSKI GEOLOŠKI INSTITUT </t>
  </si>
  <si>
    <t>SACHSOVA 2</t>
  </si>
  <si>
    <t>43733878539</t>
  </si>
  <si>
    <t>HRVATSKI INSTITUT ZA POVIJEST</t>
  </si>
  <si>
    <t>OPATIČKA 10</t>
  </si>
  <si>
    <t>23296176633</t>
  </si>
  <si>
    <t>HRVATSKI ŠUMARSKI INSTITUT</t>
  </si>
  <si>
    <t>CVJETNO NASELJE 41</t>
  </si>
  <si>
    <t>10450 JASTREBARSKO</t>
  </si>
  <si>
    <t>13579392023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</si>
  <si>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</si>
  <si>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</si>
  <si>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</si>
  <si>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</si>
  <si>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</si>
  <si>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</si>
  <si>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</si>
  <si>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</si>
  <si>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</si>
  <si>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</si>
  <si>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</si>
  <si>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</si>
  <si>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</si>
  <si>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</si>
  <si>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</si>
  <si>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</si>
  <si>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</si>
  <si>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</si>
  <si>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</si>
  <si>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</si>
  <si>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</si>
  <si>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 GRADA VUKOVARA 54</t>
  </si>
  <si>
    <t>43667021597</t>
  </si>
  <si>
    <t>INSTITUT ZA FIZIKU</t>
  </si>
  <si>
    <t>77627408491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</si>
  <si>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</si>
  <si>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</si>
  <si>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</si>
  <si>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</si>
  <si>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</si>
  <si>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</si>
  <si>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</si>
  <si>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</si>
  <si>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</si>
  <si>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</si>
  <si>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</si>
  <si>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</si>
  <si>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MIGRACIJE I NARODNOSTI</t>
  </si>
  <si>
    <t>TRG STJEPANA RADIĆA 3</t>
  </si>
  <si>
    <t>80265403319</t>
  </si>
  <si>
    <t>INSTITUT ZA OCEANOGRAFIJU I RIBARSTVO</t>
  </si>
  <si>
    <t>ŠETALIŠTE I. 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</si>
  <si>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</si>
  <si>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</si>
  <si>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</si>
  <si>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</si>
  <si>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</si>
  <si>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</si>
  <si>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</si>
  <si>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</si>
  <si>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RAZVOJ I MEĐUNARODNE ODNOSE</t>
  </si>
  <si>
    <t>LJ. F. VUKOTINOVIĆA 2</t>
  </si>
  <si>
    <t>31120185175</t>
  </si>
  <si>
    <t>INSTITUT ZA TURIZAM</t>
  </si>
  <si>
    <t>VRHOVEC 5</t>
  </si>
  <si>
    <t>10264179101</t>
  </si>
  <si>
    <t>POLJOPRIVREDNI INSTITUT OSIJEK</t>
  </si>
  <si>
    <t>JUŽNO PREDGRAĐE 17</t>
  </si>
  <si>
    <t>03665720049</t>
  </si>
  <si>
    <t>STAROSLAVENSKI INSTITUT</t>
  </si>
  <si>
    <t>DEMETROVA 11</t>
  </si>
  <si>
    <t>15291942541</t>
  </si>
  <si>
    <t>DRŽAVNI ZAVOD ZA INTELEKTUALNO VLASNIŠTVO</t>
  </si>
  <si>
    <t>ULICA GRADA VUKOVARA 78</t>
  </si>
  <si>
    <t>89755384389</t>
  </si>
  <si>
    <t>DZIV</t>
  </si>
  <si>
    <t>08012</t>
  </si>
  <si>
    <t>AGENCIJA ZA MOBILNOST I PROGRAME EUROPSKE UNIJE</t>
  </si>
  <si>
    <t>FRANKOPANSKA 26</t>
  </si>
  <si>
    <t>25385906011</t>
  </si>
  <si>
    <t>Agencije</t>
  </si>
  <si>
    <t>08091</t>
  </si>
  <si>
    <t>AGENCIJA ZA ODGOJ I OBRAZOVANJE</t>
  </si>
  <si>
    <t>72193628411</t>
  </si>
  <si>
    <t>AGENCIJA ZA STRUKOVNO OBRAZOVANJE I OBRAZOVANJE ODRASLIH</t>
  </si>
  <si>
    <t>GARIĆGRADSKA ULICA 18</t>
  </si>
  <si>
    <t>40719411729</t>
  </si>
  <si>
    <t>AGENCIJA ZA ZNANOST I VISOKO OBRAZOVANJE</t>
  </si>
  <si>
    <t>DONJE SVETICE 38/5</t>
  </si>
  <si>
    <t>83358955356</t>
  </si>
  <si>
    <t>HRVATSKA AKADEMSKA I ISTRAŽIVAČKA MREŽA - CARNET</t>
  </si>
  <si>
    <t>JOSIPA MAROHNIĆA 5</t>
  </si>
  <si>
    <t>58101996540</t>
  </si>
  <si>
    <t>HRVATSKA ZAKLADA ZA ZNANOST</t>
  </si>
  <si>
    <t>ILICA 24</t>
  </si>
  <si>
    <t>08092</t>
  </si>
  <si>
    <t>LEKSIKOGRAFSKI ZAVOD MIROSLAV KRLEŽA</t>
  </si>
  <si>
    <t>49894241709</t>
  </si>
  <si>
    <t>NACIONALNA I SVEUČILIŠNA KNJIŽNICA U ZAGREBU</t>
  </si>
  <si>
    <t>HRVATSKE BRATSKE ZAJEDNICE 4</t>
  </si>
  <si>
    <t>84838770814</t>
  </si>
  <si>
    <t>NACIONALNI CENTAR ZA VANJSKO VREDNOVANJE OBRAZOVANJA</t>
  </si>
  <si>
    <t>ULICA D. TOMLJANOVIĆA GAVRANA 11</t>
  </si>
  <si>
    <t>10020 ZAGREB</t>
  </si>
  <si>
    <t>94833993984</t>
  </si>
  <si>
    <t>SVEUČILIŠTE U ZAGREBU - SVEUČILIŠNI RAČUNSKI CENTAR - SRCE</t>
  </si>
  <si>
    <t>34016189309</t>
  </si>
  <si>
    <t>Plan za unos u SAP - prihodi i primici</t>
  </si>
  <si>
    <t>GLAVA</t>
  </si>
  <si>
    <t>OPIS GLAVE</t>
  </si>
  <si>
    <t>IZVOR</t>
  </si>
  <si>
    <t>OPIS IZVORA</t>
  </si>
  <si>
    <t>Stavka
(odaberite)</t>
  </si>
  <si>
    <t>OPIS STAVKE</t>
  </si>
  <si>
    <t>Davatelj prijenosa</t>
  </si>
  <si>
    <t>left3</t>
  </si>
  <si>
    <t>left2</t>
  </si>
  <si>
    <t>671 - izvor 11</t>
  </si>
  <si>
    <t>glava za visoko 6</t>
  </si>
  <si>
    <t>671 - izvor 12</t>
  </si>
  <si>
    <t>Prihodi za posebne namjene</t>
  </si>
  <si>
    <t>Konto</t>
  </si>
  <si>
    <t>opis konta</t>
  </si>
  <si>
    <t>izvor</t>
  </si>
  <si>
    <t>3 konto</t>
  </si>
  <si>
    <t>2 konto</t>
  </si>
  <si>
    <t>Pomoći EU</t>
  </si>
  <si>
    <t>Opći prihodi i primici</t>
  </si>
  <si>
    <t>Prihodi iz nadležnog proračuna za financiranje redovne djelatnosti proračunskih korisnika</t>
  </si>
  <si>
    <t>Ostale pomoći</t>
  </si>
  <si>
    <t>HRVATSKA ZAKLADA ZA ZNANOST (52209)</t>
  </si>
  <si>
    <t>Sredstva učešća za pomoći</t>
  </si>
  <si>
    <t>Vlastiti prihodi</t>
  </si>
  <si>
    <t>Naknada za priređivanje lutrijskih igara, izvor 41</t>
  </si>
  <si>
    <t>Prihodi od igara na sreću</t>
  </si>
  <si>
    <t>Naknade za priređivanje igara na sreću u casinima, izvor 41</t>
  </si>
  <si>
    <t>Prihodi od nefinancijske imovine</t>
  </si>
  <si>
    <t>Ostali prihodi za posebne namjene</t>
  </si>
  <si>
    <t>Naknade za priređivanje klađenja, izvor 41</t>
  </si>
  <si>
    <t>SVEUČILIŠTE U ZAGREBU (2436)</t>
  </si>
  <si>
    <t>Naknade za priređivanje igara na sreću na automatima, izvor 41</t>
  </si>
  <si>
    <t>Tekuće pomoći od inozemnih vlada u EU</t>
  </si>
  <si>
    <t xml:space="preserve">Ostale pomoći i darovnice </t>
  </si>
  <si>
    <t>Švicarski instrument</t>
  </si>
  <si>
    <t>Tekuće pomoći od inozemnih vlada izvan EU</t>
  </si>
  <si>
    <t>Ostale refundacije iz pomoći EU</t>
  </si>
  <si>
    <t>Kapitalne pomoći od inozemnih vlada u EU</t>
  </si>
  <si>
    <t>Europski socijalni fond (ESF)</t>
  </si>
  <si>
    <t>Kapitalne pomoći od inozemnih vlada izvan EU</t>
  </si>
  <si>
    <t>Europski fond za regionalni razvoj (ERDF)</t>
  </si>
  <si>
    <t>Tekuće pomoći od međunarodnih organizacija</t>
  </si>
  <si>
    <t>Instrumenti Europskog gospodarskog prostora i ostali instrumenti</t>
  </si>
  <si>
    <t xml:space="preserve">Kapitalne pomoći od međunarodnih organizacija </t>
  </si>
  <si>
    <t>Fondovi za unutarnje poslove</t>
  </si>
  <si>
    <t>Tekuće pomoći od institucija i tijela EU Švicarski instrument</t>
  </si>
  <si>
    <t>Fond solidarnosti Europske unije – potres</t>
  </si>
  <si>
    <t>Tekuće pomoći od institucija i tijela EU – ostale refundacije</t>
  </si>
  <si>
    <t>Mehanizam za oporavak i otpornost</t>
  </si>
  <si>
    <t>Europski fond za regionalni razvoj (EFRR)</t>
  </si>
  <si>
    <t>Donacije</t>
  </si>
  <si>
    <t>Tekuće pomoći od institucija i tijela EU – Instrumenti europskog gospodarskog prostora</t>
  </si>
  <si>
    <t>Inozemne donacije</t>
  </si>
  <si>
    <t>Tek.pom.od instit. tijela EU - fondovi za unutarnje poslove</t>
  </si>
  <si>
    <t>Prihodi od nefin. imovine i nadoknade štete s osnova osig.</t>
  </si>
  <si>
    <t>Tekuće pomoći od institucija i tijela EU - Fond solidarnosti EU - potres ožujak 2020.</t>
  </si>
  <si>
    <t>Fond solidarnosti EU</t>
  </si>
  <si>
    <t>Namjenski primici od zaduživanja</t>
  </si>
  <si>
    <t>Tekuće pomoći od institucija i tijela EU - Fond solidarnosti EU - potres prosinac 2020.</t>
  </si>
  <si>
    <t>Tek.pom.od instit. tijela EU - Mehanizam za oporavak i otpornost</t>
  </si>
  <si>
    <t>Tekuće pomoći od institucija i tijela EU - ostalo</t>
  </si>
  <si>
    <t xml:space="preserve">Pomoći EU </t>
  </si>
  <si>
    <t>Tekuće pomoći od institucija i tijela EU - refundacije putnih troškova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</si>
  <si>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</si>
  <si>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</si>
  <si>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</si>
  <si>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</si>
  <si>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Kapitalne pomoći od institucija i tijela EU - Fond solidarnosti EU - potres ožujak 2020.</t>
  </si>
  <si>
    <t>Kapitalne pomoći od institucija i tijela EU - Fond solidarnosti EU - potres prosinac 2020.</t>
  </si>
  <si>
    <t>Kapitalne pom.od instit. tijela EU - Mehanizam za oporavak i otpornost</t>
  </si>
  <si>
    <t>Kapitalne pomoći od institucija i tijela EU - ostalo</t>
  </si>
  <si>
    <t xml:space="preserve">Tekuće pomoći od izvanproračunskih korisnika </t>
  </si>
  <si>
    <t>Kapitalne pomoći od izvanproračunskih korisnika</t>
  </si>
  <si>
    <t>Tekuće pomoći proračunskim korisnicima iz proračuna JLP(R)S koji im nije nadležan</t>
  </si>
  <si>
    <t>Kapitalne pomoći proračunskim korisnicima iz proračuna JLP(R)S koji im nije nadležan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</si>
  <si>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</si>
  <si>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</si>
  <si>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</si>
  <si>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</si>
  <si>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</si>
  <si>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</si>
  <si>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Kamate za ostale vrijednosne papire izvor 31</t>
  </si>
  <si>
    <t>Kamate na oročena sredstva izvor 31</t>
  </si>
  <si>
    <t>Kamate na depozite po viđenju izvor 31</t>
  </si>
  <si>
    <t>Kamate na depozite po viđenju izvor 43</t>
  </si>
  <si>
    <t>Prihodi od pozitivnih tečajnih razlika izvor 31</t>
  </si>
  <si>
    <t>Prihodi od pozitivnih tečajnih razlika izvor 43</t>
  </si>
  <si>
    <t>Prihod od dividendi na dionice u kreditnim i ostalim financijskim institucijama izvan javnog sektora izvor 31</t>
  </si>
  <si>
    <t>Prihodi iz dobiti trgovačkih društava u javnom sektoru izvor 43</t>
  </si>
  <si>
    <t>Prihodi iz dobiti Hrvatske lutrije, izvor 41</t>
  </si>
  <si>
    <t>Ostali prihodi od financijske imovine izvor 43</t>
  </si>
  <si>
    <t>Prihodi od prodaje kratkotrajne nefinancijske imovine izvor 31</t>
  </si>
  <si>
    <t>Ostali prihodi od nefinancijske imovine izvor 31</t>
  </si>
  <si>
    <t>Ostale naknade i pristojbe za posebne namjene</t>
  </si>
  <si>
    <t xml:space="preserve">Ostali prihodi državne uprave za posebne namjene </t>
  </si>
  <si>
    <t>Sufinanciranje cijene usluge, participacije i slično</t>
  </si>
  <si>
    <t>Prihodi s naslova osiguranja, refundacije štete i totalne štete izvor 43</t>
  </si>
  <si>
    <t>Prihodi s naslova osiguranja, refundacije štete i totalne štete izvor 71</t>
  </si>
  <si>
    <t xml:space="preserve">Ostali prihodi za posebne namjene </t>
  </si>
  <si>
    <t>Prihodi od prodanih proizvoda i robe</t>
  </si>
  <si>
    <t>Prihodi od pruženih usluga</t>
  </si>
  <si>
    <t>Tekuće donacije od fizičkih osoba</t>
  </si>
  <si>
    <t xml:space="preserve">Donacije 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</si>
  <si>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</si>
  <si>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</si>
  <si>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</si>
  <si>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</si>
  <si>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Kapitalne donacije od neprofitnih organizacija</t>
  </si>
  <si>
    <t>Kapitalne donacije od trgovačkih društava</t>
  </si>
  <si>
    <t>Kapitalne donacije od ostalih subjekata izvan općeg proračuna</t>
  </si>
  <si>
    <t>Tekuće donacije od neprofitnih organizacija - ostale</t>
  </si>
  <si>
    <t>Inozemne donacija</t>
  </si>
  <si>
    <t>Tekuće donacije od trgovačkih društava - ostale</t>
  </si>
  <si>
    <t>Kapitalne donacije od neprofitnih organizacija - ostale</t>
  </si>
  <si>
    <t>Kapitalne donacije od trgovačkih društava - ostale</t>
  </si>
  <si>
    <t>Ostale nespomenute kazne izvor 43</t>
  </si>
  <si>
    <t>Ostali prihodi izvor 31</t>
  </si>
  <si>
    <t>Ostali prihodi izvor 43</t>
  </si>
  <si>
    <t>Poljoprivredno zemljište izvor 71</t>
  </si>
  <si>
    <t>Prihodi od prodaje ili zamjene nefinancijske imovine i naknade s naslova osiguranja</t>
  </si>
  <si>
    <t>Građevinsko zemljište izvor 71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</si>
  <si>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</si>
  <si>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</si>
  <si>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</si>
  <si>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</si>
  <si>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</si>
  <si>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</si>
  <si>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</si>
  <si>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Uredski namještaj izvor 71</t>
  </si>
  <si>
    <t>Ostala uredska oprema izvor 71</t>
  </si>
  <si>
    <t>Glazbeni instrumenti i oprema izvor 71</t>
  </si>
  <si>
    <t>Strojevi - izvor 71</t>
  </si>
  <si>
    <t>Oprema izvor 71</t>
  </si>
  <si>
    <t>Osobni automobili izvor 71</t>
  </si>
  <si>
    <t>Kombi vozila izvor 71</t>
  </si>
  <si>
    <t>Kamioni izvor 71</t>
  </si>
  <si>
    <t>Traktori izvor 71</t>
  </si>
  <si>
    <t>Terenska vozila (protupožarna, vojna i slično) izvor 71</t>
  </si>
  <si>
    <t>Ostala prijevozna sr. u cest.prometu - izvor 71</t>
  </si>
  <si>
    <t>Plovila izvor 71</t>
  </si>
  <si>
    <t>Osnovno stado izvor 71</t>
  </si>
  <si>
    <t>Primici od povr.depozita od tuz.kred.inst.-krat.43</t>
  </si>
  <si>
    <t>Primici od povrata depozita od tuzemnih kreditnih i ostalih institucija - dugoročni - namjenski</t>
  </si>
  <si>
    <t>Dionice i udjeli u glavnici trgovačkih društava u javnom sektoru - izvor 43</t>
  </si>
  <si>
    <t>Dionice i udjeli u glavnici tuzemnih kreditnih institucija izvan javnog sektora - izvor 43</t>
  </si>
  <si>
    <t>Primljeni zajmovi od međunarodnih organizacija - dugoročni</t>
  </si>
  <si>
    <t xml:space="preserve">Namjenski primici od zaduživanja </t>
  </si>
  <si>
    <t>Proj.održivog, prav. i učink.obrazov. IBRD 93030</t>
  </si>
  <si>
    <t>Primljeni krediti od tuzemnih kreditnih institucija izvan javnog sektora - dugoročni namjenski</t>
  </si>
  <si>
    <t>Primljeni krediti od kreditnih institucija u javnom sektoru - dugoročni - namjenski</t>
  </si>
  <si>
    <t>Plan za unos u SAP - rashodi i izdaci</t>
  </si>
  <si>
    <t>IZVOR
(odaberite)</t>
  </si>
  <si>
    <t>AKTIVNOST
(odaberite)</t>
  </si>
  <si>
    <t>OPIS AKTIVNOSTI</t>
  </si>
  <si>
    <t>FP</t>
  </si>
  <si>
    <t>Primatelj prijenosa</t>
  </si>
  <si>
    <t>leftIzvor</t>
  </si>
  <si>
    <t>A621001</t>
  </si>
  <si>
    <t>Plaće za redovan rad</t>
  </si>
  <si>
    <t>AKTIVNOST</t>
  </si>
  <si>
    <t>Plaće u naravi</t>
  </si>
  <si>
    <t>NOVA AKT</t>
  </si>
  <si>
    <t>Plaće za prekovremeni rad</t>
  </si>
  <si>
    <t>A557041</t>
  </si>
  <si>
    <t>PREUZIMANJE OBVEZA ZA PROJEKTE JAVNO PRIVATNOG PARTNERSTVA U VARAŽDINSKOJ I KOPRIVNIČKO-KRIŽEVAČKOJ ŽUPANIJI</t>
  </si>
  <si>
    <t>0912</t>
  </si>
  <si>
    <t>Osnovno obrazovanje</t>
  </si>
  <si>
    <t>09</t>
  </si>
  <si>
    <t>091</t>
  </si>
  <si>
    <t>Plaće za posebne uvjete rada</t>
  </si>
  <si>
    <t>A557042</t>
  </si>
  <si>
    <t>PROGRAM DOKTORANADA I POSLIJEDOKTORANADA HRVATSKE ZAKLADE ZA ZNANOST</t>
  </si>
  <si>
    <t>0150</t>
  </si>
  <si>
    <t>Istraživanje i razvoj: Opće javne usluge</t>
  </si>
  <si>
    <t>01</t>
  </si>
  <si>
    <t>015</t>
  </si>
  <si>
    <t>A622122</t>
  </si>
  <si>
    <t>Ostali rashodi za zaposlene</t>
  </si>
  <si>
    <t>A557043</t>
  </si>
  <si>
    <t>NACIONALNO VIJEĆE ZA ODGOJ I OBRAZOVANJE</t>
  </si>
  <si>
    <t>0970</t>
  </si>
  <si>
    <t>Istraživanje i razvoj obrazovanja</t>
  </si>
  <si>
    <t>097</t>
  </si>
  <si>
    <t>Doprinosi za obvezno zdravstveno osiguranje</t>
  </si>
  <si>
    <t>A577000</t>
  </si>
  <si>
    <t>ADMINISTRACIJA I UPRAVLJANJE</t>
  </si>
  <si>
    <t>Službena putovanja</t>
  </si>
  <si>
    <t>0980</t>
  </si>
  <si>
    <t>Usluge obrazovanja koje nisu drugdje svrstane</t>
  </si>
  <si>
    <t>098</t>
  </si>
  <si>
    <t>Naknade za prijevoz, za rad na terenu i odvojeni život</t>
  </si>
  <si>
    <t>A577004</t>
  </si>
  <si>
    <t>PROVEDBA KURIKULARNE REFORME</t>
  </si>
  <si>
    <t>Stručno usavršavanje zaposlenika</t>
  </si>
  <si>
    <t>A577012</t>
  </si>
  <si>
    <t>OBRAZOVANJE DJECE HRVATSKIH GRAĐANA U INOZEMSTVU</t>
  </si>
  <si>
    <t>Intelektualne usluge</t>
  </si>
  <si>
    <t>Ostale naknade troškova zaposlenima</t>
  </si>
  <si>
    <t>A577015</t>
  </si>
  <si>
    <t>DRŽAVNE NAGRADE ZA IZUZETNE REZULTATE U OBRAZOVANJU I TEHNIČKOJ KULTURI</t>
  </si>
  <si>
    <t>0942</t>
  </si>
  <si>
    <t>Drugi stupanj visoke naobrazbe</t>
  </si>
  <si>
    <t>094</t>
  </si>
  <si>
    <t>Uredski materijal i ostali materijalni rashodi</t>
  </si>
  <si>
    <t>A577016</t>
  </si>
  <si>
    <t>PREVENCIJA NASILJA I OVISNOSTI</t>
  </si>
  <si>
    <t>Materijal i sirovine</t>
  </si>
  <si>
    <t>A577028</t>
  </si>
  <si>
    <t>POTICAJI HRVATSKOJ ZAJEDNICI TEHNIČKE KULTURE</t>
  </si>
  <si>
    <t>0820</t>
  </si>
  <si>
    <t>Službe kulture</t>
  </si>
  <si>
    <t>08</t>
  </si>
  <si>
    <t>082</t>
  </si>
  <si>
    <t>Energija</t>
  </si>
  <si>
    <t>A577124</t>
  </si>
  <si>
    <t>HRVATSKA NASTAVA U INOZEMSTVU</t>
  </si>
  <si>
    <t>Materijal i dijelovi za tekuće i investicijsko održavanje</t>
  </si>
  <si>
    <t>A577130</t>
  </si>
  <si>
    <t>POTICAJI UDRUGAMA ZA IZVANINSTITUCIONALNI ODGOJ I OBRAZOVANJE DJECE I MLADIH</t>
  </si>
  <si>
    <t>Sitni inventar i auto gume</t>
  </si>
  <si>
    <t>A577131</t>
  </si>
  <si>
    <t>POTICAJI OBRAZOVANJA NACIONALNIH MANJINA</t>
  </si>
  <si>
    <t>A621038</t>
  </si>
  <si>
    <t>Vojna sredstva za jednokratnu upotrebu</t>
  </si>
  <si>
    <t>A577132</t>
  </si>
  <si>
    <t>POTICANJE MEĐUNARODNE OBRAZOVNE SURADNJE ŠKOLA</t>
  </si>
  <si>
    <t>A679088</t>
  </si>
  <si>
    <t>Službena, radna i zaštitna odjeća i obuća</t>
  </si>
  <si>
    <t>A577133</t>
  </si>
  <si>
    <t>POTICANJE PROGRAMA RADA S DAROVITIM UČENICIMA I STUDENTIMA</t>
  </si>
  <si>
    <t>Usluge telefona, pošte i prijevoza</t>
  </si>
  <si>
    <t>A577137</t>
  </si>
  <si>
    <t>POSEBNI PROGRAMI OBRAZOVANJA ZA PROVOĐENJE PROGRAMA NACIONALNIH MANJINA</t>
  </si>
  <si>
    <t>Usluge tekućeg i investicijskog održavanja</t>
  </si>
  <si>
    <t>A577143</t>
  </si>
  <si>
    <t>RAZVOJ I ODRŽAVANJE INFORMACIJSKE INFRASTRUKTURE MINISTARSTVA</t>
  </si>
  <si>
    <t>Usluge promidžbe i informiranja</t>
  </si>
  <si>
    <t>A578003</t>
  </si>
  <si>
    <t>ODGOJ I NAOBRAZBA DJECE PRIPADNIKA NACIONALNIH MANJINA</t>
  </si>
  <si>
    <t>0911</t>
  </si>
  <si>
    <t>Predškolsko obrazovanje</t>
  </si>
  <si>
    <t>Komunalne usluge</t>
  </si>
  <si>
    <t>A578004</t>
  </si>
  <si>
    <t>PREDŠKOLSKI ODGOJ I OBRAZOVANJE DJECE S TEŠKOĆAMA U RAZVOJU (SUFINANCIRANJE)</t>
  </si>
  <si>
    <t>Zakupnine i najamnine</t>
  </si>
  <si>
    <t>A578008</t>
  </si>
  <si>
    <t>ODGOJ I NAOBRAZBA DJECE U PROGRAMIMA PREDŠKOLE</t>
  </si>
  <si>
    <t>Zdravstvene i veterinarske usluge</t>
  </si>
  <si>
    <t>A578009</t>
  </si>
  <si>
    <t>ODGOJ I OBRAZOVANJE DAROVITE DJECE PREDŠKOLSKE DOBI U DJEČJIM VRTIĆIMA</t>
  </si>
  <si>
    <t>Intelektualne i osobne usluge</t>
  </si>
  <si>
    <t>A578041</t>
  </si>
  <si>
    <t>POMOĆNICI U NASTAVI ZA DJECU S TEŠKOĆAMA U RAZVOJU</t>
  </si>
  <si>
    <t>Računalne usluge</t>
  </si>
  <si>
    <t>A578042</t>
  </si>
  <si>
    <t>OSIGURANJE UČENIKA I STUDENATA NA PRAKTIČNOJ NASTAVI I STRUČNOJ PRAKSI</t>
  </si>
  <si>
    <t>Ostale usluge</t>
  </si>
  <si>
    <t>A578045</t>
  </si>
  <si>
    <t>SUFINANCIRANJE NASTAVNIH MATERIJALA I OPREME ZA UČENIKE OSNOVNIH I SREDNJIH ŠKOLA</t>
  </si>
  <si>
    <t>Naknade troškova osobama izvan radnog odnosa</t>
  </si>
  <si>
    <t>A578050</t>
  </si>
  <si>
    <t>POTPORA INOVACIJSKIM PROCESIMA</t>
  </si>
  <si>
    <t>Naknade za rad predstavničkih i izvršnih tijela, povjerensta</t>
  </si>
  <si>
    <t>A578055</t>
  </si>
  <si>
    <t>HRVATSKO-ŠVICARSKI ISTRAŽIVAČKI PROGRAM</t>
  </si>
  <si>
    <t>Premije osiguranja</t>
  </si>
  <si>
    <t>A578059</t>
  </si>
  <si>
    <t>EUROPSKA MREŽA ŠKOLA - EUROPEAN SCHOOLNET</t>
  </si>
  <si>
    <t>Reprezentacija</t>
  </si>
  <si>
    <t>A578061</t>
  </si>
  <si>
    <t>OBZOR 2020. - PROGRAM POTICANJA ISTRAŽIVANJA I RAZVOJA U PERSONALIZIRANOJ MEDICINI – ERA PERMED</t>
  </si>
  <si>
    <t xml:space="preserve">  Reprezentacija</t>
  </si>
  <si>
    <t>A578062</t>
  </si>
  <si>
    <t>ERASMUS+ SOCIJALNA I MEĐUNARODNA DIMENZIJA OBRAZOVANJA I PRIZNAVANJA PRETHODNOG UČENJA - SIDERAL</t>
  </si>
  <si>
    <t>Članarine i norme</t>
  </si>
  <si>
    <t>A578065</t>
  </si>
  <si>
    <t>ERASMUS+ PROJEKT BAQUAL - BOLJE AKADEMSKE KVALIFIKACIJE KROZ OSIGURAVANJE KVALITETE</t>
  </si>
  <si>
    <t>Pristojbe i naknade</t>
  </si>
  <si>
    <t>A578066</t>
  </si>
  <si>
    <t>ERASMUS PLUS - PROJEKT PROFFORMANCE - RAZVOJ SUSTAVA OCJENJIVANJA RADA I NAGRAĐIVANJA PROFESORA NA VISOKIM UČILIŠTIMA</t>
  </si>
  <si>
    <t>Troškovi sudskih postupaka</t>
  </si>
  <si>
    <t>A579000</t>
  </si>
  <si>
    <t>OSNOVNOŠKOLSKO OBRAZOVANJE</t>
  </si>
  <si>
    <t>0180</t>
  </si>
  <si>
    <t>Prijenosi općeg karaktera između različitih državnih razina</t>
  </si>
  <si>
    <t>018</t>
  </si>
  <si>
    <t>Ostali nespomenuti rashodi poslovanja</t>
  </si>
  <si>
    <t>Kamate za izdane trezorske zapise</t>
  </si>
  <si>
    <t>A579003</t>
  </si>
  <si>
    <t>ODGOJ I NAOBRAZBA UČENIKA S TEŠKOĆAMA U RAZVOJU U OSNOVNIM ŠKOLAMA</t>
  </si>
  <si>
    <t>Kamate za primljene kredite i zajmove od kreditnih i ostalih</t>
  </si>
  <si>
    <t>A579004</t>
  </si>
  <si>
    <t>POTICANJE IZVANNASTAVNIH AKTIVNOSTI U OŠ</t>
  </si>
  <si>
    <t>A579007</t>
  </si>
  <si>
    <t>PRAVOMOĆNE SUDSKE PRESUDE</t>
  </si>
  <si>
    <t>Kamate za primljene zajmove od trgovačkih društava i obrtnik</t>
  </si>
  <si>
    <t>Bankarske usluge i usluge platnog prometa</t>
  </si>
  <si>
    <t>A579069</t>
  </si>
  <si>
    <t>RAZVOJ PREDŠKOLSKOG I OSNOVNOŠKOLSKOG SUSTAVA ODGOJA I OBRAZOVANJA</t>
  </si>
  <si>
    <t>Negativne tečajne razlike i razlike zbog primjene valutne kl</t>
  </si>
  <si>
    <t>A580000</t>
  </si>
  <si>
    <t>SREDNJOŠKOLSKO OBRAZOVANJE</t>
  </si>
  <si>
    <t>Zatezne kamate</t>
  </si>
  <si>
    <t>0922</t>
  </si>
  <si>
    <t>Više srednjoškolsko obrazovanje</t>
  </si>
  <si>
    <t>092</t>
  </si>
  <si>
    <t>Ostali nespomenuti financijski rashodi</t>
  </si>
  <si>
    <t>A580003</t>
  </si>
  <si>
    <t>POTICANJE IZVANNASTAVNIH AKTIVNOSTI U SREDNJIM ŠKOLAMA I VISOKOŠKOLSKOM OBRAZOVANJU</t>
  </si>
  <si>
    <t>Subvencije kreditnim i ostalim financijskim institucijama u</t>
  </si>
  <si>
    <t>A580004</t>
  </si>
  <si>
    <t>STANDARD UČENIKA S POSEBNIM POTREBAMA</t>
  </si>
  <si>
    <t>Subvencije trgovačkim društvima u javnom sektoru</t>
  </si>
  <si>
    <t>A580007</t>
  </si>
  <si>
    <t>Subvencije trgovačkim društvima izvan javnog sektora</t>
  </si>
  <si>
    <t>A580014</t>
  </si>
  <si>
    <t>RAZVOJ SUSTAVA OBRAZOVANJA ODRASLIH</t>
  </si>
  <si>
    <t>Subvencije trgovačkim društvima, zadrugama, poljoprivrednici</t>
  </si>
  <si>
    <t>A580037</t>
  </si>
  <si>
    <t>JAVNI MEĐUMJESNI PRIJEVOZ ZA UČENIKE</t>
  </si>
  <si>
    <t>Tekuće pomoći inozemnim vladama</t>
  </si>
  <si>
    <t>A580044</t>
  </si>
  <si>
    <t>RAZVOJ SUSTAVA SREDNJOŠKOLSKOG ODGOJA I OBRAZOVANJA</t>
  </si>
  <si>
    <t>Tekuće pomoći međunarodnim organizacijama te institucijama i</t>
  </si>
  <si>
    <t>A621021</t>
  </si>
  <si>
    <t>SMJEŠTAJ I PREHRANA STUDENATA STUDENTSKOG CENTRA ZAGREB - SUFINANCIRANJE</t>
  </si>
  <si>
    <t>0960</t>
  </si>
  <si>
    <t>Dodatne usluge u obrazovanju</t>
  </si>
  <si>
    <t>096</t>
  </si>
  <si>
    <t>Tekuće pomoći unutar općeg proračuna</t>
  </si>
  <si>
    <t>A621022</t>
  </si>
  <si>
    <t>SMJEŠTAJ I PREHRANA STUDENATA STUDENTSKOG CENTRA OSIJEK - SUFINANCIRANJE</t>
  </si>
  <si>
    <t>Kapitalne pomoći unutar općeg proračuna</t>
  </si>
  <si>
    <t>A621023</t>
  </si>
  <si>
    <t>SMJEŠTAJ I PREHRANA STUDENATA STUDENTSKOG CENTRA RIJEKA - SUFINANCIRANJE</t>
  </si>
  <si>
    <t>Tekuće pomoći proračunskim korisnicima drugih proračuna</t>
  </si>
  <si>
    <t>A621024</t>
  </si>
  <si>
    <t>SMJEŠTAJ I PREHRANA STUDENATA STUDENTSKOG CENTRA SPLIT - SUFINANCIRANJE</t>
  </si>
  <si>
    <t>Kapitalne pomoći proračunskim korisnicima drugih proračuna</t>
  </si>
  <si>
    <t>A621026</t>
  </si>
  <si>
    <t>SMJEŠTAJ I PREHRANA STUDENATA STUDENTSKOG CENTRA ŠIBENIK - SUFINANCIRANJE</t>
  </si>
  <si>
    <t>Tekuće pomoći temeljem prijenosa EU sredstava</t>
  </si>
  <si>
    <t>A621028</t>
  </si>
  <si>
    <t>SMJEŠTAJ I PREHRANA STUDENATA STUDENTSKOG CENTRA VARAŽDIN - SUFINANCIRANJE</t>
  </si>
  <si>
    <t>Kapitalne pomoći temeljem prijenosa EU sredstava</t>
  </si>
  <si>
    <t>A621029</t>
  </si>
  <si>
    <t>SMJEŠTAJ I PREHRANA STUDENATA STUDENTSKOG CENTRA SLAVONSKI BROD - SUFINANCIRANJE</t>
  </si>
  <si>
    <t>Tekući prijenosi između proračunskih korisnika istog proraču</t>
  </si>
  <si>
    <t>A621030</t>
  </si>
  <si>
    <t>SMJEŠTAJ I PREHRANA STUDENATA STUDENTSKOG CENTRA POŽEGA - SUFINANCIRANJE</t>
  </si>
  <si>
    <t>Kapitalni prijenosi između proračunskih korisnika istog pror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</si>
  <si>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</si>
  <si>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</si>
  <si>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</si>
  <si>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</si>
  <si>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</si>
  <si>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</si>
  <si>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Naknade građ. i kuć. u novcu-neposr. ili putem ust.izvan js</t>
  </si>
  <si>
    <t>A621049</t>
  </si>
  <si>
    <t>KAMATE ZA STANOVE ZNANSTVENIH NOVAKA I ASISTENATA</t>
  </si>
  <si>
    <t>Naknade građ. i kuć. u naravi-neposr. ili putem ust.izvan js</t>
  </si>
  <si>
    <t>A621058</t>
  </si>
  <si>
    <t>PROGRAMI POBOLJŠANJA STUDENTSKOG STANDARDA</t>
  </si>
  <si>
    <t>Naknade građanima i kućanstvima u novcu - putem ustanova u j</t>
  </si>
  <si>
    <t>A621185</t>
  </si>
  <si>
    <t>POTPORA HRVATSKOM KATOLIČKOM SVEUČILIŠTU U ZAGREBU</t>
  </si>
  <si>
    <t>Naknade građanima i kućanstvima u naravi - putem ustanova u</t>
  </si>
  <si>
    <t>A622003</t>
  </si>
  <si>
    <t>UGOVORNO FINANCIRANJE ZNANSTVENE DJELATNOSTI</t>
  </si>
  <si>
    <t>Naknade građanima i kućanstvima na temelju osiguranja iz EU</t>
  </si>
  <si>
    <t>A622004</t>
  </si>
  <si>
    <t>IZDAVANJE DOMAĆIH ZNANSTVENIH ČASOPISA</t>
  </si>
  <si>
    <t>Naknade građanima i kućanstvima u novcu</t>
  </si>
  <si>
    <t>A622005</t>
  </si>
  <si>
    <t>ORGANIZIRANJE I ODRŽAVANJE ZNANSTVENIH SKUPOVA</t>
  </si>
  <si>
    <t>Naknade građanima i kućanstvima u naravi</t>
  </si>
  <si>
    <t>A622006</t>
  </si>
  <si>
    <t>IZDAVANJE  ZNANSTVENIH KNJIGA I UDŽBENIKA</t>
  </si>
  <si>
    <t>Naknade građanima i kućanstvima iz EU sredstava</t>
  </si>
  <si>
    <t>A622007</t>
  </si>
  <si>
    <t>FINANCIJSKA POTPORA ZNANSTVENIM UDRUGAMA I PROGRAMIMA POPULARIZACIJE ZNANOSTI</t>
  </si>
  <si>
    <t>Tekuće donacije u novcu</t>
  </si>
  <si>
    <t>A628003</t>
  </si>
  <si>
    <t>PROJEKTI PRIMJENE INFORMACIJSKE TEHNOLOGIJE</t>
  </si>
  <si>
    <t>Tekuće donacije u naravi</t>
  </si>
  <si>
    <t>A676059</t>
  </si>
  <si>
    <t>OBZOR 2020. - EUROPSKA NOĆ ISTRAŽIVAČA</t>
  </si>
  <si>
    <t>Tekuće donacije iz EU sredstava</t>
  </si>
  <si>
    <t>A676065</t>
  </si>
  <si>
    <t>ERASMUS+ PROJEKT BWSE FORWARD - BOLONJA OČIMA ZAINTERESIRANIH DIONIKA ZA SNAŽNIJU BUDUĆNOST BOLONJSKOG PROCESA</t>
  </si>
  <si>
    <t>Kapitalne donacije neprofitnim organizacijama</t>
  </si>
  <si>
    <t>A676070</t>
  </si>
  <si>
    <t>ERASMUS+ EUROPSKO ISTRAŽIVANJE PRAĆENJA OSOBA S DIPLOMOM (GT-HRVATSKA)</t>
  </si>
  <si>
    <t>Naknade šteta pravnim i fizičkim osobama</t>
  </si>
  <si>
    <t>A679005</t>
  </si>
  <si>
    <t>ČLANSTVO U MEĐUNARODNIM UDRUGAMA</t>
  </si>
  <si>
    <t>Penali, ležarine i drugo</t>
  </si>
  <si>
    <t>A679008</t>
  </si>
  <si>
    <t>PROGRAM RAZVOJNE SURADNJE</t>
  </si>
  <si>
    <t>Naknade šteta zaposlenicima</t>
  </si>
  <si>
    <t>A679009</t>
  </si>
  <si>
    <t>REDOVNA DJELATNOST LEKTORATA</t>
  </si>
  <si>
    <t>Ugovorene kazne i ostale naknade šteta</t>
  </si>
  <si>
    <t>A679047</t>
  </si>
  <si>
    <t>MEĐUNARODNA SURADNJA I EUROPSKI POSLOVI</t>
  </si>
  <si>
    <t>Ostale kazne</t>
  </si>
  <si>
    <t>A679049</t>
  </si>
  <si>
    <t>POMOĆI BIH U SUSTAVU ZNANOSTI I OBRAZOVANJA</t>
  </si>
  <si>
    <t>Kapitalne pomoći kreditnim i ostalim financijskim institucijama te trgovačkim društvima u javnom sektoru</t>
  </si>
  <si>
    <t>A679064</t>
  </si>
  <si>
    <t>ZNANSTVENO-UČILIŠNI KAMPUS BORONGAJ</t>
  </si>
  <si>
    <t>Kapitalne pomoći kreditnim i ostalim financijskim institucijama te trgovačkim društvima i zadrugama izvan javnog sektora</t>
  </si>
  <si>
    <t>A679065</t>
  </si>
  <si>
    <t>SMJEŠTAJ I PREHRANA STUDENATA STUDENTSKOG CENTRA PULA - SUFINANCIRANJE</t>
  </si>
  <si>
    <t>Kapitalne pomoći poljoprivrednicima i obrtnicima</t>
  </si>
  <si>
    <t>A679066</t>
  </si>
  <si>
    <t>POTPORE ROMSKIM STUDIJIMA I STUDENTIMA ROMIMA</t>
  </si>
  <si>
    <t>Zemljište</t>
  </si>
  <si>
    <t>A679067</t>
  </si>
  <si>
    <t>STIPENDIJE ZA STUDENTE SLABIJEGA SOCIO-EKONOMSKOG STATUSA</t>
  </si>
  <si>
    <t>Ostala prirodna materijalna imovina</t>
  </si>
  <si>
    <t>A679069</t>
  </si>
  <si>
    <t>SMJEŠTAJ I PREHRANA STUDENATA STUDENTSKOG CENTRA SISAK - SUFINANCIRANJE</t>
  </si>
  <si>
    <t>Koncesije</t>
  </si>
  <si>
    <t>A733049</t>
  </si>
  <si>
    <t>EUROPSKA AGENCIJA ZA POSEBNE POTREBE I INKLUZIVNO OBRAZOVANJE</t>
  </si>
  <si>
    <t>Licence</t>
  </si>
  <si>
    <t>A733050</t>
  </si>
  <si>
    <t>PRAĆENJE I IMPLEMENTACIJA POLITIKA EUROPSKOG ISTRAŽIVAČKOG PROSTORA (ERA)</t>
  </si>
  <si>
    <t>Ostala prava</t>
  </si>
  <si>
    <t>Ostala nematerijalna imovina</t>
  </si>
  <si>
    <t>A733051</t>
  </si>
  <si>
    <t>PROGRAMI IZRADE UDŽBENIKA ZA SLIJEPE I SLABOVIDNE UČENIKE I STUDENTE</t>
  </si>
  <si>
    <t>Stambeni objekti</t>
  </si>
  <si>
    <t>A733052</t>
  </si>
  <si>
    <t>DALJNJE UNAPREĐENJE SUSTAVA ZA RAZVOJ I PROVEDBU NACIONALNOGA KVALIFIKACIJSKOG OKVIRA (NKO)</t>
  </si>
  <si>
    <t>Poslovni objekti</t>
  </si>
  <si>
    <t>A733055</t>
  </si>
  <si>
    <t>PROGRAM IZVRSNOSTI U VISOKOM OBRAZOVANJU - TENURE-TRACK</t>
  </si>
  <si>
    <t>Ceste, željeznice i ostali prometni objekti</t>
  </si>
  <si>
    <t>A733056</t>
  </si>
  <si>
    <t>EUROPSKI ZNANSTVENI PROJEKTI</t>
  </si>
  <si>
    <t>Ostali građevinski objekti</t>
  </si>
  <si>
    <t>A733060</t>
  </si>
  <si>
    <t>OBZOR 2020. - PROGRAM POTICANJA ISTRAŽIVANJA I RAZVOJA MORSKIH BIO-RESURSA – ERA-NET BLUEBIOECONOMY</t>
  </si>
  <si>
    <t>Uredska oprema i namještaj</t>
  </si>
  <si>
    <t>A733063</t>
  </si>
  <si>
    <t>ERASMUS+ KORIŠTENJE PODATAKA S CILJEM UNAPRJEĐENJA KVALITETE U SUSTAVU ODGOJA I OBRAZOVANJA - DATA DRIVE</t>
  </si>
  <si>
    <t>Komunikacijska oprema</t>
  </si>
  <si>
    <t>A733064</t>
  </si>
  <si>
    <t>ERASMUS+ INTERDISCIPLINARNI STEM PRISTUP SVEMU OKO NAS - STE(A)M IT</t>
  </si>
  <si>
    <t>Oprema za održavanje i zaštitu</t>
  </si>
  <si>
    <t>A733065</t>
  </si>
  <si>
    <t>ERASMUS + PRIZNAVANJE PRETHODNOG UČENJA U PRAKSI</t>
  </si>
  <si>
    <t>Medicinska i laboratorijska oprema</t>
  </si>
  <si>
    <t>A733066</t>
  </si>
  <si>
    <t>ERASMUS PLUS - OSNAŽIVANJE NASTAVNIKA DILJEM EUROPE - KA3 - HAND IN HAND</t>
  </si>
  <si>
    <t>Instrumenti, uređaji i strojevi</t>
  </si>
  <si>
    <t>A767002</t>
  </si>
  <si>
    <t>IZRADA DEFICITARNIH UDŽBENIKA U ŠKOLSTVU</t>
  </si>
  <si>
    <t>Sportska i glazbena oprema</t>
  </si>
  <si>
    <t>A767003</t>
  </si>
  <si>
    <t>SREDNJOŠKOLSKE STIPENDIJE ZA UČENIKE ROME</t>
  </si>
  <si>
    <t>Uređaji, strojevi i oprema za ostale namjene</t>
  </si>
  <si>
    <t>A767004</t>
  </si>
  <si>
    <t>NAOBRAZBA DJECE U ALTERNATIVNIM ŠKOLAMA</t>
  </si>
  <si>
    <t>Prijevozna sredstva u cestovnom prometu</t>
  </si>
  <si>
    <t>A767008</t>
  </si>
  <si>
    <t>SUBVENCIONIRANJE KAMATA ZA STANOVE UČITELJA</t>
  </si>
  <si>
    <t>Prijevozna sredstva u pomorskom i riječnom prometu</t>
  </si>
  <si>
    <t>A767009</t>
  </si>
  <si>
    <t>ZNANSTVENI CENTRI IZVRSNOSTI - DRUŠTVENO HUMANISTIČKO PODRUČJE</t>
  </si>
  <si>
    <t>Knjige</t>
  </si>
  <si>
    <t>A767013</t>
  </si>
  <si>
    <t>RAZVOJ SUSTAVA OSIGURANJA KVALITETE</t>
  </si>
  <si>
    <t>Umjetnička djela (izložena u galerijama, muzejima i slično)</t>
  </si>
  <si>
    <t>A767015</t>
  </si>
  <si>
    <t>PROVEDBA PROGRAMA ZA UKLJUČIVANJE ROMA</t>
  </si>
  <si>
    <t>Ostale nespomenute izložbene vrijednosti</t>
  </si>
  <si>
    <t>A767035</t>
  </si>
  <si>
    <t>MEĐUNARODNA SURADNJA</t>
  </si>
  <si>
    <t>Višegodišnji nasadi</t>
  </si>
  <si>
    <t>A767038</t>
  </si>
  <si>
    <t>OBZOR 2020. - PROGRAM MEĐUNARODNE MOBILNOSTI ZA ISTRAŽIVAČE - NEWFELPRO</t>
  </si>
  <si>
    <t>Osnovno stado</t>
  </si>
  <si>
    <t>A767042</t>
  </si>
  <si>
    <t>OBRAZOVANJE OSOBA BEZ HRVATSKOG DRŽAVLJANSTVA</t>
  </si>
  <si>
    <t>Ulaganja u računalne programe</t>
  </si>
  <si>
    <t>A767043</t>
  </si>
  <si>
    <t>RAZVOJ VISOKOG OBRAZOVANJA</t>
  </si>
  <si>
    <t>Umjetnička, literarna i znanstvena djela</t>
  </si>
  <si>
    <t>A767056</t>
  </si>
  <si>
    <t>OBZOR 2020. - PARTNERSTVO ZA ISTRAŽIVANJA I INOVACIJE NA MEDITERANSKOM PODRUČJU - PRIMA</t>
  </si>
  <si>
    <t>Strateške zalihe</t>
  </si>
  <si>
    <t>A768058</t>
  </si>
  <si>
    <t>PREUZETE OBVEZE PO MEĐUNARODNIM UGOVORIMA</t>
  </si>
  <si>
    <t>Dodatna ulaganja na građevinskim objektima</t>
  </si>
  <si>
    <t>A768061</t>
  </si>
  <si>
    <t>ERASMUS+ UČINKOVITO PARTNERSTVO ZA UNAPRIJEĐENO PRIZNAVANJE - EPER</t>
  </si>
  <si>
    <t>Dodatna ulaganja na postrojenjima i opremi</t>
  </si>
  <si>
    <t>A768064</t>
  </si>
  <si>
    <t>ERASMUS+ PROJEKT TRACER - TRANSPARENTNOST HRVATSKIH KVALIFIKACIJA RADI LAKŠEG PRIZNAVANJA</t>
  </si>
  <si>
    <t>Dodatna ulaganja na prijevoznim sredstvima</t>
  </si>
  <si>
    <t>A768065</t>
  </si>
  <si>
    <t>OBZOR 2020 - MENTORSTVO ZA UNAPRJEĐENJE ŠKOLE - MENSI</t>
  </si>
  <si>
    <t>Dodatna ulaganja za ostalu nefinancijsku imovinu</t>
  </si>
  <si>
    <t>A768068</t>
  </si>
  <si>
    <t>OTKUP ZNANSTVENIH KNJIGA I VISOKOŠKOLSKIH UDŽBENIKA</t>
  </si>
  <si>
    <t>Dani zajmovi neprofitnim organizacijama, građanima i kućanst</t>
  </si>
  <si>
    <t>A818021</t>
  </si>
  <si>
    <t>PRIMJENA UDŽBENIČKOG STANDARDA</t>
  </si>
  <si>
    <t>Otplata glavnice primljenih kredita od tuzemnih kreditnih in</t>
  </si>
  <si>
    <t>A818034</t>
  </si>
  <si>
    <t>PROJEKT POVEZIVANJA S EUROPSKIM KVALIFIKACIJSKIM OKVIROM - EQF NCP GRANT</t>
  </si>
  <si>
    <t>Dani zajmovi neprofitnim organizacijama, građanima i kućanstvima u tuzemstvu</t>
  </si>
  <si>
    <t>A818035</t>
  </si>
  <si>
    <t>MENTORI I STRUČNI ISPITI U OSNOVNIM I SREDNJIM ŠKOLAMA</t>
  </si>
  <si>
    <t>Dani zajmovi neprofitnim organizacijama, građanima i kućanstvima u inozemstvu</t>
  </si>
  <si>
    <t>A818049</t>
  </si>
  <si>
    <t>REGIONALNI CENTAR ZA IMPLEMENTACIJU REGIONALNE STRATEGIJE ZNANOSTI I ISTRAŽIVANJA ZAPADNOG BALKANA ZA INOVACIJE (WISE)</t>
  </si>
  <si>
    <t>Dani zajmovi trgovačkim društvima u javnom sektoru</t>
  </si>
  <si>
    <t>K110283</t>
  </si>
  <si>
    <t>OPREMANJE OSNOVNOŠKOLSKIH KNJIŽNICA OBVEZNOM LEKTIROM I STRUČNOM LITERATUROM</t>
  </si>
  <si>
    <t>Izdaci za depozite u kreditnim i ostalim financijskim institucijama - tuzemni</t>
  </si>
  <si>
    <t>K110291</t>
  </si>
  <si>
    <t>OPREMANJE SREDNJOŠKOLSKIH KNJIŽNICA LEKTIROM I STRUČNOM LITERATUROM</t>
  </si>
  <si>
    <t xml:space="preserve">Izdaci za jamčevne pologe </t>
  </si>
  <si>
    <t>K252755</t>
  </si>
  <si>
    <t>RAČUNALNO KOMUNIKACIJSKA INFRASTRUKTURA U OSNOVNIM I SREDNJIM ŠKOLAMA</t>
  </si>
  <si>
    <t>Otplata glavnice primljenih kredita od kreditnih institucija u javnom sektoru</t>
  </si>
  <si>
    <t>K578010</t>
  </si>
  <si>
    <t>IZGRADNJA DJEČJEG CENTRA VOŠTARNICA</t>
  </si>
  <si>
    <t>Otplata glavnice primljenih zajmova od trgovačkih društava u javnom sektoru</t>
  </si>
  <si>
    <t>K578051</t>
  </si>
  <si>
    <t>OP KONKURENTNOST I KOHEZIJA 2014.-2020., PRIORITET 1, 9 i 10</t>
  </si>
  <si>
    <t>Otplata glavnice primljenih kredita od tuzemnih kreditnih institucija izvan javnog sektora</t>
  </si>
  <si>
    <t>K578063</t>
  </si>
  <si>
    <t>PROJEKT "HRVATSKA: USUSRET ODRŽIVOM, PRAVEDNOM I UČINKOVITOM OBRAZOVANJU"</t>
  </si>
  <si>
    <t>Otplata glavnice primljenih zajmova od ostalih tuzemnih financijskih institucija izvan javnog sektora</t>
  </si>
  <si>
    <t>K578064</t>
  </si>
  <si>
    <t>CENTAR ZA ODGOJ I OBRAZOVANJE ČAKOVEC</t>
  </si>
  <si>
    <t>Otplata glavnice primljenih zajmova od tuzemnih trgovačkih društava izvan javnog sektora</t>
  </si>
  <si>
    <t>K578068</t>
  </si>
  <si>
    <t>IZGRADNJA, DOGRADNJA, REKONSTRUKCIJA I OPREMANJE SREDNJIH ŠKOLA - NPOO (C3.1.R1-I3)</t>
  </si>
  <si>
    <t>Otplata glavnice primljenih zajmova od županijskih proračuna</t>
  </si>
  <si>
    <t>K578070</t>
  </si>
  <si>
    <t>POBOLJŠANJE UČINKOVITOSTI JAVNIH ULAGANJA NA PODRUČJU ISTRAŽIVANJA, RAZVOJA I INOVACIJA - NPOO (C3.2.R3)</t>
  </si>
  <si>
    <t>K579064</t>
  </si>
  <si>
    <t>KAPITALNE INVESTICIJE U OSNOVNOM I SREDNJEM ŠKOLSTVU</t>
  </si>
  <si>
    <t>K622113</t>
  </si>
  <si>
    <t>ULAGANJE U ODRŽAVANJE ZNANSTVENOISTRAŽIVAČKE OPREME I INFRASTRUKTURE</t>
  </si>
  <si>
    <t>K676058</t>
  </si>
  <si>
    <t>PROSVJETNO-KULTURNI CENTAR MAĐARA - IZGRADNJA UČENIČKOG DOMA</t>
  </si>
  <si>
    <t>K676064</t>
  </si>
  <si>
    <t>TALIJANSKA SŠ LEONARDO DA VINCI BUJE-REKONSTRUKCIJA I DOGRADNJA</t>
  </si>
  <si>
    <t>A621181</t>
  </si>
  <si>
    <t>K676066</t>
  </si>
  <si>
    <t>OBNOVA ZGRADA OŠTEĆENIH U POTRESU S ENERGETSKOM OBNOVOM - NPOO (C6.1.R1-I2)</t>
  </si>
  <si>
    <t>K676067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</si>
  <si>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</si>
  <si>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</si>
  <si>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</si>
  <si>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K733061</t>
  </si>
  <si>
    <t>OSNOVNA ŠKOLA MILAN AMRUŠ SLAVONSKI BROD</t>
  </si>
  <si>
    <t>K733067</t>
  </si>
  <si>
    <t>OP UČINKOVITI LJUDSKI POTENCIJALI 2021.-2027., PRIORITET 2</t>
  </si>
  <si>
    <t>0950</t>
  </si>
  <si>
    <t>Obrazovanje koje se ne može definirati po stupnju</t>
  </si>
  <si>
    <t>095</t>
  </si>
  <si>
    <t>K767031</t>
  </si>
  <si>
    <t>OŠ MIJATA STOJANOVIĆA U BABINOJ GREDI</t>
  </si>
  <si>
    <t>K767032</t>
  </si>
  <si>
    <t>OBRTNIČKA ŠKOLA SISAK</t>
  </si>
  <si>
    <t>K768066</t>
  </si>
  <si>
    <t>OBNOVA INFRASTRUKTURE I OPREME U PODRUČJU OBRAZOVANJA OŠTEĆENE POTRESOM</t>
  </si>
  <si>
    <t>K768067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</si>
  <si>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</si>
  <si>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</si>
  <si>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</si>
  <si>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</si>
  <si>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</si>
  <si>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</si>
  <si>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</si>
  <si>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</si>
  <si>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</si>
  <si>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</si>
  <si>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</si>
  <si>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</si>
  <si>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</si>
  <si>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</si>
  <si>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</si>
  <si>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</si>
  <si>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</si>
  <si>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</si>
  <si>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</si>
  <si>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</si>
  <si>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</si>
  <si>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</si>
  <si>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</si>
  <si>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</si>
  <si>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</si>
  <si>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</si>
  <si>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</si>
  <si>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A621183</t>
  </si>
  <si>
    <t>STIPENDIJE I ŠKOLARINE ZA DOKTORSKI STUDIJ</t>
  </si>
  <si>
    <t>A622012</t>
  </si>
  <si>
    <t>REDOVNA DJELATNOST SEIZMOLOŠKE SLUŽBE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</si>
  <si>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</si>
  <si>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</si>
  <si>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</si>
  <si>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</si>
  <si>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</si>
  <si>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</si>
  <si>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</si>
  <si>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</si>
  <si>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</si>
  <si>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</si>
  <si>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</si>
  <si>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</si>
  <si>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</si>
  <si>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</si>
  <si>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</si>
  <si>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</si>
  <si>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</si>
  <si>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</si>
  <si>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</si>
  <si>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</si>
  <si>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</si>
  <si>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</si>
  <si>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</si>
  <si>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REDOVNA DJELATNOST SVEUČILIŠTA U ZAGREBU (IZ EVIDENCIJSKIH PRIHODA)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</si>
  <si>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</si>
  <si>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</si>
  <si>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</si>
  <si>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</si>
  <si>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</si>
  <si>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</si>
  <si>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</si>
  <si>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</si>
  <si>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</si>
  <si>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</si>
  <si>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</si>
  <si>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</si>
  <si>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</si>
  <si>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</si>
  <si>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</si>
  <si>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</si>
  <si>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</si>
  <si>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</si>
  <si>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</si>
  <si>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</si>
  <si>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</si>
  <si>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</si>
  <si>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</si>
  <si>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</si>
  <si>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</si>
  <si>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</si>
  <si>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</si>
  <si>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</si>
  <si>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</si>
  <si>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</si>
  <si>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</si>
  <si>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</si>
  <si>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</si>
  <si>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</si>
  <si>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</si>
  <si>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</si>
  <si>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</si>
  <si>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</si>
  <si>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</si>
  <si>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</si>
  <si>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</si>
  <si>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</si>
  <si>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</si>
  <si>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</si>
  <si>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</si>
  <si>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</si>
  <si>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</si>
  <si>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</si>
  <si>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</si>
  <si>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</si>
  <si>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</si>
  <si>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</si>
  <si>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</si>
  <si>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</si>
  <si>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</si>
  <si>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</si>
  <si>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</si>
  <si>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</si>
  <si>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</si>
  <si>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</si>
  <si>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</si>
  <si>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</si>
  <si>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</si>
  <si>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</si>
  <si>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</si>
  <si>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</si>
  <si>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</si>
  <si>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</si>
  <si>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</si>
  <si>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</si>
  <si>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</si>
  <si>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</si>
  <si>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A628009</t>
  </si>
  <si>
    <t>ADMINISTRACIJA I UPRAVLJANJE HRVATSKE AKADEMSKE I ISTRAŽIVAČKE MREŽE CARNET</t>
  </si>
  <si>
    <t>0133</t>
  </si>
  <si>
    <t>Ostale opće usluge</t>
  </si>
  <si>
    <t>013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</si>
  <si>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</si>
  <si>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</si>
  <si>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</si>
  <si>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</si>
  <si>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</si>
  <si>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</si>
  <si>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04</t>
  </si>
  <si>
    <t>046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</si>
  <si>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</si>
  <si>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</si>
  <si>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</si>
  <si>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</si>
  <si>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</si>
  <si>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</si>
  <si>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</si>
  <si>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</si>
  <si>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</si>
  <si>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</si>
  <si>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</si>
  <si>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</si>
  <si>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</si>
  <si>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</si>
  <si>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</si>
  <si>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</si>
  <si>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</si>
  <si>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</si>
  <si>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</si>
  <si>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</si>
  <si>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</si>
  <si>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</si>
  <si>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</si>
  <si>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</si>
  <si>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</si>
  <si>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</si>
  <si>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</si>
  <si>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</si>
  <si>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</si>
  <si>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</si>
  <si>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</si>
  <si>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</si>
  <si>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</si>
  <si>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</si>
  <si>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</si>
  <si>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</si>
  <si>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</si>
  <si>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</si>
  <si>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</si>
  <si>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</si>
  <si>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</si>
  <si>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</si>
  <si>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</si>
  <si>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</si>
  <si>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</si>
  <si>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</si>
  <si>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</si>
  <si>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</si>
  <si>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</si>
  <si>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</si>
  <si>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</si>
  <si>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</si>
  <si>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</si>
  <si>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</si>
  <si>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</si>
  <si>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</si>
  <si>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</si>
  <si>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</si>
  <si>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</si>
  <si>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</si>
  <si>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</si>
  <si>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</si>
  <si>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</si>
  <si>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</si>
  <si>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</si>
  <si>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</si>
  <si>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</si>
  <si>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</si>
  <si>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</si>
  <si>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</si>
  <si>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</si>
  <si>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</si>
  <si>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</si>
  <si>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</si>
  <si>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</si>
  <si>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</si>
  <si>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</si>
  <si>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</si>
  <si>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</si>
  <si>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</si>
  <si>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</si>
  <si>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</si>
  <si>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</si>
  <si>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</si>
  <si>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</si>
  <si>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</si>
  <si>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</si>
  <si>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</si>
  <si>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</si>
  <si>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</si>
  <si>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</si>
  <si>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</si>
  <si>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</si>
  <si>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</si>
  <si>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</si>
  <si>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</si>
  <si>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</si>
  <si>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</si>
  <si>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</si>
  <si>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</si>
  <si>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</si>
  <si>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</si>
  <si>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</si>
  <si>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</si>
  <si>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</si>
  <si>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</si>
  <si>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</si>
  <si>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</si>
  <si>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</si>
  <si>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</si>
  <si>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</si>
  <si>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</si>
  <si>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</si>
  <si>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</si>
  <si>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</si>
  <si>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</si>
  <si>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</si>
  <si>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</si>
  <si>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</si>
  <si>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</si>
  <si>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</si>
  <si>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</si>
  <si>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</si>
  <si>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</si>
  <si>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</si>
  <si>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</si>
  <si>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</si>
  <si>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</si>
  <si>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</si>
  <si>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</si>
  <si>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</si>
  <si>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</si>
  <si>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</si>
  <si>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</si>
  <si>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</si>
  <si>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</si>
  <si>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</si>
  <si>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</si>
  <si>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</si>
  <si>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</si>
  <si>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</si>
  <si>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</si>
  <si>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</si>
  <si>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</si>
  <si>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</si>
  <si>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</si>
  <si>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</si>
  <si>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</si>
  <si>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</si>
  <si>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</si>
  <si>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</si>
  <si>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</si>
  <si>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</si>
  <si>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</si>
  <si>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</si>
  <si>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</si>
  <si>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</si>
  <si>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</si>
  <si>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</si>
  <si>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</si>
  <si>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</si>
  <si>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</si>
  <si>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</si>
  <si>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</si>
  <si>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</si>
  <si>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</si>
  <si>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</si>
  <si>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</si>
  <si>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</si>
  <si>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</si>
  <si>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</si>
  <si>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</si>
  <si>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</si>
  <si>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</si>
  <si>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</si>
  <si>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</si>
  <si>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</si>
  <si>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</si>
  <si>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</si>
  <si>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</si>
  <si>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</si>
  <si>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</si>
  <si>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</si>
  <si>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</si>
  <si>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</si>
  <si>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</si>
  <si>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</si>
  <si>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</si>
  <si>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</si>
  <si>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</si>
  <si>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</si>
  <si>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</si>
  <si>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</si>
  <si>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</si>
  <si>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</si>
  <si>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</si>
  <si>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</si>
  <si>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</si>
  <si>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</si>
  <si>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</si>
  <si>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</si>
  <si>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</si>
  <si>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</si>
  <si>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</si>
  <si>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</si>
  <si>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A679078.151</t>
  </si>
  <si>
    <t>NOVI PODPROJEKT</t>
  </si>
  <si>
    <t>K578051.001</t>
  </si>
  <si>
    <t>Znanstveno i tehnologijsko predviđanje</t>
  </si>
  <si>
    <t>K578051.002</t>
  </si>
  <si>
    <t>Ulaganje u znanost i inovacije (SIIF)</t>
  </si>
  <si>
    <t>A679078.163</t>
  </si>
  <si>
    <t>K578051.003</t>
  </si>
  <si>
    <t>Jačanje kapaciteta za istraživanje, razvoj i inovacije (STRIP)</t>
  </si>
  <si>
    <t>A679078.267</t>
  </si>
  <si>
    <t>K578051.004</t>
  </si>
  <si>
    <t>Ulaganje u organizacijsku reformu i infrastrukturu sektora istraživanja, razvoja i inovacija</t>
  </si>
  <si>
    <t>A679078.268</t>
  </si>
  <si>
    <t>K578051.005</t>
  </si>
  <si>
    <t>Veliki projekt: ˝Dječji centar za translacijsku medicinu˝ Dječje bolnice Srebrnjak</t>
  </si>
  <si>
    <t>K578051.006</t>
  </si>
  <si>
    <t>Priprema IRI infrastrukturnih projekata</t>
  </si>
  <si>
    <t>K578051.008</t>
  </si>
  <si>
    <t>Poziv Centri kompetencija</t>
  </si>
  <si>
    <t>K578051.009</t>
  </si>
  <si>
    <t>Tehnička pomoć za MZO</t>
  </si>
  <si>
    <t>K818050.001</t>
  </si>
  <si>
    <t>Osiguravanje pomoćnika u nastavi i stručnih komunikacijskih posrednika učenicima s teškoćama u razvoju u osnovnoškolskim i srednjoškolskim odgojno-obrazovnim ustanovama - faza III</t>
  </si>
  <si>
    <t>K818050.003</t>
  </si>
  <si>
    <t>Unapređenje pismenosti u svrhu promocije cjeloživotnog učenja</t>
  </si>
  <si>
    <t>A679078.269</t>
  </si>
  <si>
    <t>K818050.004</t>
  </si>
  <si>
    <t>Podrška obrazovanju odraslih polaznika uključivanjem u prioritetne programe obrazovanja, usmjerene unapređenju vještina i kompetencija polaznika u svrhu povećanja zapošljivosti</t>
  </si>
  <si>
    <t>K818050.005</t>
  </si>
  <si>
    <t>Programska,stručna i financijska podrška obrazovanju učenika romske nacionalne manjine</t>
  </si>
  <si>
    <t>Fond solidarnosti Europske unije</t>
  </si>
  <si>
    <t>K818050.006</t>
  </si>
  <si>
    <t>Internacionalizacija visokog obrazovanja - razvoj studijskih programa na stranim jezicima u prioritetnim područjima i združenih studija</t>
  </si>
  <si>
    <t>K818050.007</t>
  </si>
  <si>
    <t>Provedba HKO-a na razini visokog obrazovanja</t>
  </si>
  <si>
    <t>K818050.008</t>
  </si>
  <si>
    <t>Razvoj, unapređenje i provedba stručne prakse u visokom obrazovanju</t>
  </si>
  <si>
    <t>K818050.009</t>
  </si>
  <si>
    <t>Sufinanciranje troškova uključivanja djece  u socio-ekonomski nepovoljnoj situaciji u predškolske ustanove</t>
  </si>
  <si>
    <t>K818050.010</t>
  </si>
  <si>
    <t>Unapređenje kvalitete obrazovanja odraslih kroz razvoj i provedbu HKO-a</t>
  </si>
  <si>
    <t>Namjenski primici od inozemnog zaduživanja</t>
  </si>
  <si>
    <t>K818050.011</t>
  </si>
  <si>
    <t>Uspostava regionalnih centara kompetencija u strukovnom obrazovanju u odabranim sektorima</t>
  </si>
  <si>
    <t>A679078.346</t>
  </si>
  <si>
    <t>K818050.013</t>
  </si>
  <si>
    <t>Dodjela stipendija studentima nižeg socio-ekonomskog statusa</t>
  </si>
  <si>
    <t>A679078.653</t>
  </si>
  <si>
    <t>K818050.014</t>
  </si>
  <si>
    <t>Dodjela stipendija studentima u prioritetnim područjima STEM</t>
  </si>
  <si>
    <t>K818050.015</t>
  </si>
  <si>
    <t>Projekt razvoja karijera mladih istraživača - izobrazba novih doktora znanosti</t>
  </si>
  <si>
    <t>K818050.016</t>
  </si>
  <si>
    <t>Program suradnje s hrvatskim znanstvenicima u dijaspori ''ZNANSTVENA SURADNJA''</t>
  </si>
  <si>
    <t>K818050.017</t>
  </si>
  <si>
    <t>Program razvoja karijera mladih znanstvenika – poslijedoktoranada</t>
  </si>
  <si>
    <t>K818050.019</t>
  </si>
  <si>
    <t>Uspostava i upravljanje Registrom HKO</t>
  </si>
  <si>
    <t>A679078.654</t>
  </si>
  <si>
    <t>K818050.020</t>
  </si>
  <si>
    <t>Priprema i uvođenje programskih ugovora</t>
  </si>
  <si>
    <t>K818050.021</t>
  </si>
  <si>
    <t>Podrška provedbi cjelovite kurikularne reforme (CKR)</t>
  </si>
  <si>
    <t>K818050.022</t>
  </si>
  <si>
    <t>Podrška provedbi cjelovite kurikularne reforme (CKR) - faza II</t>
  </si>
  <si>
    <t>NOVI PROJEKT: ERASMUS+ INOVATION GYMNASTICS LESSONS IN HIGH SCHOOL</t>
  </si>
  <si>
    <t>K818050.023</t>
  </si>
  <si>
    <t>MZO Tehnička pomoć OP ULJP faza I</t>
  </si>
  <si>
    <t>K818050.024</t>
  </si>
  <si>
    <t>Informatizacija procesa i uspostava cjelovite elektroničke usluge upisa u odgojne i obrazovne ustanove</t>
  </si>
  <si>
    <t>A679071.004</t>
  </si>
  <si>
    <t>ERASMUS + Ključna mjera 2: suradnja za inovacije i razmjena dobre prakse - e-ProfEng</t>
  </si>
  <si>
    <t>A679071.005</t>
  </si>
  <si>
    <t>ERASMUS+ projekt individualne mobilnosti nastavnog i nenastavnog osoblja kroz boravak na inozemnim ustanovama</t>
  </si>
  <si>
    <t>A679071.006</t>
  </si>
  <si>
    <t>ERASMUS+ projekt međukulturalne razmjene stručnih znanja u građevinarstvu</t>
  </si>
  <si>
    <t>A679071.008</t>
  </si>
  <si>
    <t>Projekt energetske obnove zgrade - Strojarski fakultet Slavonski Brod</t>
  </si>
  <si>
    <t>A679071.009</t>
  </si>
  <si>
    <t>IPA AGRICULTURAL WASTE projekt poboljšanja konkurentnosti regionalnih ekonomskih subjekata u prekograničnom području</t>
  </si>
  <si>
    <t>NOVI PROJEKT.ERASMUS+ FITBACK4LITERACY</t>
  </si>
  <si>
    <t>A679071.010</t>
  </si>
  <si>
    <t>INTERREG IPA Ozelenjivanje gradova</t>
  </si>
  <si>
    <t>A679071.011</t>
  </si>
  <si>
    <t>ARDENT-Unapređenje ruralnog razvoja kroz poduzetničko obrazovanje za odrasle</t>
  </si>
  <si>
    <t>A679071.012</t>
  </si>
  <si>
    <t>EUFams II - Olakšavanje prekograničnog obiteljskog života</t>
  </si>
  <si>
    <t>A679071.013</t>
  </si>
  <si>
    <t>Zaštita otmičnih majki u postupku za povratak: Raskrižje između nasilja u obitelji i roditeljskog otmica djeteta</t>
  </si>
  <si>
    <t>A679071.014</t>
  </si>
  <si>
    <t>INTERREG IPA CBC Hrvatska - Srbija</t>
  </si>
  <si>
    <t>A679071.017</t>
  </si>
  <si>
    <t>INTERREG Rescue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</si>
  <si>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</si>
  <si>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</si>
  <si>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</si>
  <si>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</si>
  <si>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A679071.021</t>
  </si>
  <si>
    <t>Potpora za očuvanje, održivo korištenje i razvoj genetskih izvora u poljoprivredi</t>
  </si>
  <si>
    <t>A679071.022</t>
  </si>
  <si>
    <t>Izvrsnost i učinkovitost u visokom obrazovanju u polju ekonomije (E4)</t>
  </si>
  <si>
    <t>A679071.023</t>
  </si>
  <si>
    <t>Unaprjeđenje kvalitete studiranja na pravnim fakultetima u Hrvatskoj</t>
  </si>
  <si>
    <t>A679071.024</t>
  </si>
  <si>
    <t>Projekt razvoja karijere mladih istraživača - izobrazba novih doktora znanosti</t>
  </si>
  <si>
    <t>A679071.025</t>
  </si>
  <si>
    <t>IRI PROJEKT - AGROSIMPA</t>
  </si>
  <si>
    <t>A679071.026</t>
  </si>
  <si>
    <t>IPA INTERREG CBC ESTABLISHING DEVELOPMENT OF SUSTAINABLE CROSS BORDER CLUSTERS</t>
  </si>
  <si>
    <t>A679071.027</t>
  </si>
  <si>
    <t>APPLERESIST</t>
  </si>
  <si>
    <t>A679071.028</t>
  </si>
  <si>
    <t>BIO4FEED PARTNER</t>
  </si>
  <si>
    <t>A679071.029</t>
  </si>
  <si>
    <t>AGROEKOTEH HAPIH</t>
  </si>
  <si>
    <t>A679071.030</t>
  </si>
  <si>
    <t>ERASMUS K2 - FAKULTET AGROBIOTEHNIČKIH ZNANOSTI OSIJEK</t>
  </si>
  <si>
    <t>A679071.031</t>
  </si>
  <si>
    <t>TRAIN -CE-FOOD</t>
  </si>
  <si>
    <t>A679071.033</t>
  </si>
  <si>
    <t>HKO na razini visokog obrazovanja</t>
  </si>
  <si>
    <t>A679071.034</t>
  </si>
  <si>
    <t>Jean Monnet Module  Language and EU Law Excellence</t>
  </si>
  <si>
    <t>A679071.035</t>
  </si>
  <si>
    <t>ICT u poljoprivrednim znanostima</t>
  </si>
  <si>
    <t>A679071.036</t>
  </si>
  <si>
    <t>ERASMUS+GAMe based learning in MAthematics</t>
  </si>
  <si>
    <t>A679071.037</t>
  </si>
  <si>
    <t>EU Contemporary Puppetry Critical Platform</t>
  </si>
  <si>
    <t>A679071.038</t>
  </si>
  <si>
    <t>Istraživanje i razvoj inovativne funkcionalne hrane za pčele radi povećanja efikasnosti globalne pčelarske proizvodnje.</t>
  </si>
  <si>
    <t>A679071.039</t>
  </si>
  <si>
    <t>Bioproscpecting Jadranskog mora</t>
  </si>
  <si>
    <t>A679071.043</t>
  </si>
  <si>
    <t>Helping Kids! Promoting Positive Intergroup Relations and Peacebuilding in Divided Societies</t>
  </si>
  <si>
    <t>A679071.044</t>
  </si>
  <si>
    <t>Mobility and Inclusion in Multilingual Europe</t>
  </si>
  <si>
    <t>A679071.045</t>
  </si>
  <si>
    <t>Kompetencijski standardi nastavnika, pedagoga i mentora</t>
  </si>
  <si>
    <t>A679071.048</t>
  </si>
  <si>
    <t>Treasure- OBZOR 2020 (Obzor 2020- horizon projket TreasureDiversity of local pig breeds and production systems for high quality traditional products and sustainable pork chains"Ugovaratelj Kmetijski institut Slovenije)</t>
  </si>
  <si>
    <t>A679071.049</t>
  </si>
  <si>
    <t>Digital Education for Crisis Situations: Times when there is no alternative (DECriS)</t>
  </si>
  <si>
    <t>A679071.050</t>
  </si>
  <si>
    <t>HRZZ Vlakna i proteini kao osnova za razvoj novih bioaktivnih dodataka hrani (ESF)</t>
  </si>
  <si>
    <t>A679071.051</t>
  </si>
  <si>
    <t>CUVid – Curriculum Video Erasmus +</t>
  </si>
  <si>
    <t>A679071.052</t>
  </si>
  <si>
    <t>Modern logistics learning: Certified module on master study level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</si>
  <si>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</si>
  <si>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</si>
  <si>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</si>
  <si>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</si>
  <si>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A679071.055</t>
  </si>
  <si>
    <t>Istraživanje i razvoj samoizbijajućeg betona za 3D printer s dodatkom pepela</t>
  </si>
  <si>
    <t>A679071.056</t>
  </si>
  <si>
    <t>'Erasmus + 'Time to Become Digital in Law - DIGinLAW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</si>
  <si>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</si>
  <si>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</si>
  <si>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</si>
  <si>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</si>
  <si>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A679071.060</t>
  </si>
  <si>
    <t>HRZZ PROJEKT -DOKTORANDI BIOTEHNIČKIH ZNANOSTI</t>
  </si>
  <si>
    <t>A679071.061</t>
  </si>
  <si>
    <t>DATACROSS–Napredne metode i tehnologije u znanosti o podacima i kooperativnim sustavima</t>
  </si>
  <si>
    <t>A679071.062</t>
  </si>
  <si>
    <t>EUROCC - konzorcijski sporazum o suradnji (EuroHPC) na projektu stvaranja nacionalnih centara kompetencije</t>
  </si>
  <si>
    <t>A679071.063</t>
  </si>
  <si>
    <t>Erasmus+DECriS European Summer School on Information Science 2021</t>
  </si>
  <si>
    <t>A679071.064</t>
  </si>
  <si>
    <t>RCK VirtuOS-regionalni centri kompetentnosti (RCK) u sektoru turizma i ugostiteljstva</t>
  </si>
  <si>
    <t>A679071.065</t>
  </si>
  <si>
    <t>Prilagodba mjera kontrole populacije komaraca zbog klimatskih promjena u RH</t>
  </si>
  <si>
    <t>A679071.066</t>
  </si>
  <si>
    <t>A679072.001</t>
  </si>
  <si>
    <t>ERASMUS+ projekt razvoja prometnih modaliteta kod trajekata i putničkih brodova</t>
  </si>
  <si>
    <t>A679072.002</t>
  </si>
  <si>
    <t>INTERREG DIGILOGOS projekt digitalizacije logistike multimodalnog teretnog i putničkog transporta Italije i Hrvatske</t>
  </si>
  <si>
    <t>A679072.003</t>
  </si>
  <si>
    <t>ERASMUS+ projekt ujednačavanja standarda kvalifikacija za zvanja u unutarnjoj plovidbi na razini EU</t>
  </si>
  <si>
    <t>A679072.004</t>
  </si>
  <si>
    <t>INTERREG ECOSUSTAIN projekt unaprjeđenja upravljanja zaštićenim područjima uvođenjem novih ICT tehnologija</t>
  </si>
  <si>
    <t>A679072.005</t>
  </si>
  <si>
    <t>ERASMUS+ACTS+ on line projekt izrade platforme za učenje COLREGS-a u pomorstvu</t>
  </si>
  <si>
    <t>A679072.006</t>
  </si>
  <si>
    <t>ERASMUS+ SKILLS ON BORD projekt edukacije voditelja brodica i zapovjednika jahti</t>
  </si>
  <si>
    <t>A679072.007</t>
  </si>
  <si>
    <t>ERASMUS+ SKILLS projekt definiranja modula zanimanja na tržištu rada na kopnu po završetku karijere na brodovima</t>
  </si>
  <si>
    <t>A679072.008</t>
  </si>
  <si>
    <t>INTERREG DEEPSEA projekt razvoja sustava upravljanja i inovativnih usluga za nautičare u lukama temeljenih na obnovljivim izvorima energije</t>
  </si>
  <si>
    <t>A679072.009</t>
  </si>
  <si>
    <t>INTERREG E-CHAIN projekt izrade modularnog softvera  za poboljšanje povezanosti i uskladu podataka Jadranske Intermodalne Mreže</t>
  </si>
  <si>
    <t>A679072.010</t>
  </si>
  <si>
    <t>INTERREG PROMARES projekt unaprjeđenja suradnje u logistici pomorskog i multimodalnog teretnog prometa za sve luke</t>
  </si>
  <si>
    <t>A679072.011</t>
  </si>
  <si>
    <t>ERASMUS+ LOGIN projekt pripreme stvaranja sustava kvalifikacija i programa za izobrazbu kadrova u logistici</t>
  </si>
  <si>
    <t>A679072.014</t>
  </si>
  <si>
    <t>Projekt Europskog društva za izučavanje traumatskog stresa</t>
  </si>
  <si>
    <t>A679072.015</t>
  </si>
  <si>
    <t>ERASMUS+ projekt jačanja kapaciteta za izučavanje medicine boli u zemljama zapadnog Balkana</t>
  </si>
  <si>
    <t>A679072.017</t>
  </si>
  <si>
    <t>H2020 PIXEL Učinkovito korištenje resursa, održivi razvoj i zeleni rast luka i okolnih gradova</t>
  </si>
  <si>
    <t>A679072.018</t>
  </si>
  <si>
    <t>Wom@rts projekt promicanja razvoja svijesti o ravnopravnosti spolova kroz transnacionalnu mrežu i platformu</t>
  </si>
  <si>
    <t>A679072.021</t>
  </si>
  <si>
    <t>ERASMUS+ TEFCE Prema europskom okviru za angažiranje visokog obrazovanja u zajednici</t>
  </si>
  <si>
    <t>A679072.023</t>
  </si>
  <si>
    <t>INTERREG ADRIREEF Istraživanje potencijala grebena u Jadranskom moru s ciljem jačanja Plave ekonomije</t>
  </si>
  <si>
    <t>Ostala nematerijalna proizvedena imovina</t>
  </si>
  <si>
    <t>A679072.024</t>
  </si>
  <si>
    <t>ERASMUS+ Projekt Interaktivni tečaj za teoriju kontrole (ICCT) 2018-1-SI01-KA203-047081</t>
  </si>
  <si>
    <t>Pohranjene knjige, umjetnička djela i slične vrijednosti</t>
  </si>
  <si>
    <t>A679072.025</t>
  </si>
  <si>
    <t>HORIZON 2020-MSCA-ITN-2019 - THREAD</t>
  </si>
  <si>
    <t>A679072.026</t>
  </si>
  <si>
    <t>ERASMUS + SWARM PROJEKT</t>
  </si>
  <si>
    <t>A679072.027</t>
  </si>
  <si>
    <t>H2020 Financijski nadzor i tehnološka usklađenost</t>
  </si>
  <si>
    <t>A679072.028</t>
  </si>
  <si>
    <t>Transformativni turizam u europskoj prijestolnici kulture</t>
  </si>
  <si>
    <t>A679072.029</t>
  </si>
  <si>
    <t>ManuFacturing model upravljanja i osposobljavanja za industriju 4.0 u Jadransko-jonskoj regiji</t>
  </si>
  <si>
    <t>A679072.031</t>
  </si>
  <si>
    <t>INTERREG SLO-HR MITSKI PARK, FMTU-Kozina</t>
  </si>
  <si>
    <t>A679072.032</t>
  </si>
  <si>
    <t>INTERREG ITA-HR ADRIAAQUANET,Sv. Udine</t>
  </si>
  <si>
    <t>A679072.035</t>
  </si>
  <si>
    <t>Modernizacija master programa</t>
  </si>
  <si>
    <t>A679072.037</t>
  </si>
  <si>
    <t>Povećavanje i proširenje odgovora T-stanica na glioblastoma</t>
  </si>
  <si>
    <t>A679072.039</t>
  </si>
  <si>
    <t>HERA - Zdravstvo kao javni prostor: Socijalna integracija i socijalna raznolikost u kontekstu pristupa zdravstvenoj skrbi u Europi</t>
  </si>
  <si>
    <t>A679072.040</t>
  </si>
  <si>
    <t>VALUECARE - METODOLOGIJA NA VRIJEDNOSTI ZA INTEGRIRANU NjEGU PODRUČENA IcT-om</t>
  </si>
  <si>
    <t>A679072.041</t>
  </si>
  <si>
    <t>ERASMUS+ SKILLSEA</t>
  </si>
  <si>
    <t>A679072.042</t>
  </si>
  <si>
    <t>Umjetnička i humanistička poduzetnička središta</t>
  </si>
  <si>
    <t>A679072.043</t>
  </si>
  <si>
    <t>ERASMUS + Coding4girls</t>
  </si>
  <si>
    <t>A679072.044</t>
  </si>
  <si>
    <t>ERASMUS +LANGUIDE</t>
  </si>
  <si>
    <t>A679072.045</t>
  </si>
  <si>
    <t>INTERREG Sigurno sidrenje i zaštita morske trave u Jadranskom moru-SASPAS</t>
  </si>
  <si>
    <t>A679072.046</t>
  </si>
  <si>
    <t>SPEAR - Podržavanje i implantacija planova za rodnu ravnopravnost u istraživanju</t>
  </si>
  <si>
    <t>A679072.049</t>
  </si>
  <si>
    <t>PROMEHS</t>
  </si>
  <si>
    <t>A679072.050</t>
  </si>
  <si>
    <t>ERASMUS + Digitalna društvena inovacija: nove obrazovne kompetencije za socijalnu uključenost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</si>
  <si>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</si>
  <si>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</si>
  <si>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</si>
  <si>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</si>
  <si>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A679072.053</t>
  </si>
  <si>
    <t>Novi koncepti vektora citomegaloviralnog cjepiva</t>
  </si>
  <si>
    <t>A679072.054</t>
  </si>
  <si>
    <t>Rješavanje m04 paradoksa: Izbjegavanje samo-prepoznavanja koji nedostaje i ubijanje CD8 T stanica MAT uORF</t>
  </si>
  <si>
    <t>A679072.055</t>
  </si>
  <si>
    <t>PROLOG   (HOK projekt)</t>
  </si>
  <si>
    <t>A679072.056</t>
  </si>
  <si>
    <t>GLAT-Igre za učenje algoritamskog mišljenja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</si>
  <si>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</si>
  <si>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</si>
  <si>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</si>
  <si>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</si>
  <si>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A679072.059</t>
  </si>
  <si>
    <t>Bioprospecting Jadranskog mora</t>
  </si>
  <si>
    <t>A679072.060</t>
  </si>
  <si>
    <t>SEEYW - Podržavanje obrazovanja mladih radnika</t>
  </si>
  <si>
    <t>A679072.061</t>
  </si>
  <si>
    <t>Turistička valorizacija reprezentativnih spomenika riječke industrijske baštine</t>
  </si>
  <si>
    <t>A679072.062</t>
  </si>
  <si>
    <t>ERASMUS + 2019. Mobilnost studenata i osoblja između programskih i partnerskih zemalja (KA107)</t>
  </si>
  <si>
    <t>A679072.063</t>
  </si>
  <si>
    <t>CEKOM Podrška razvoju centara kompetencija</t>
  </si>
  <si>
    <t>A679072.065</t>
  </si>
  <si>
    <t>Industrijska baština</t>
  </si>
  <si>
    <t>A679072.067</t>
  </si>
  <si>
    <t>DATACROSS – Napredne metode i tehnologije u znanosti o podatcima i kooperativnim sustavima</t>
  </si>
  <si>
    <t>A679072.068</t>
  </si>
  <si>
    <t>KLIMOD</t>
  </si>
  <si>
    <t>A679072.069</t>
  </si>
  <si>
    <t>Capacity Building of BLUE Economy Stakeholders to Effectively use CROWFUNDING</t>
  </si>
  <si>
    <t>A679072.070</t>
  </si>
  <si>
    <t>Provedba HKO-a na razini visokog obrazovanja - EFRI</t>
  </si>
  <si>
    <t>A679072.071</t>
  </si>
  <si>
    <t>Social and Creative - EFRI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</si>
  <si>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</si>
  <si>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</si>
  <si>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</si>
  <si>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</si>
  <si>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</si>
  <si>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</si>
  <si>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</si>
  <si>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</si>
  <si>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A679072.076</t>
  </si>
  <si>
    <t>Train to enforce — Train 2 EN4CE’</t>
  </si>
  <si>
    <t>A679072.077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</si>
  <si>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</si>
  <si>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</si>
  <si>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</si>
  <si>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</si>
  <si>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</si>
  <si>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</si>
  <si>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A679072.081</t>
  </si>
  <si>
    <t>ERASMUS+ COMPETING</t>
  </si>
  <si>
    <t>A679072.082</t>
  </si>
  <si>
    <t>INTERREG  PSAMIDES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</si>
  <si>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</si>
  <si>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</si>
  <si>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</si>
  <si>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</si>
  <si>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</si>
  <si>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</si>
  <si>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</si>
  <si>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</si>
  <si>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A679072.089</t>
  </si>
  <si>
    <t>YUFE (The Young Universities for the Future of Europe)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</si>
  <si>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</si>
  <si>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</si>
  <si>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</si>
  <si>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</si>
  <si>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</si>
  <si>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</si>
  <si>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</si>
  <si>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</si>
  <si>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</si>
  <si>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</si>
  <si>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</si>
  <si>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</si>
  <si>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</si>
  <si>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</si>
  <si>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</si>
  <si>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</si>
  <si>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</si>
  <si>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</si>
  <si>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</si>
  <si>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</si>
  <si>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</si>
  <si>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</si>
  <si>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</si>
  <si>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</si>
  <si>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A679072.108</t>
  </si>
  <si>
    <t>Taec</t>
  </si>
  <si>
    <t>A679072.110</t>
  </si>
  <si>
    <t>AThEME</t>
  </si>
  <si>
    <t>A679072.111</t>
  </si>
  <si>
    <t>E-confidence</t>
  </si>
  <si>
    <t>A679072.114</t>
  </si>
  <si>
    <t>eTMS IRI projekt</t>
  </si>
  <si>
    <t>A679072.115</t>
  </si>
  <si>
    <t>OPK Konkurentnost i kohezija ProtectAS</t>
  </si>
  <si>
    <t>A679072.116</t>
  </si>
  <si>
    <t>RIVIERA 4SEASONS</t>
  </si>
  <si>
    <t>A679072.119</t>
  </si>
  <si>
    <t>MORZ - Mreže Organizacije Ribara i Znanstvenika</t>
  </si>
  <si>
    <t>A679072.120</t>
  </si>
  <si>
    <t>Jean Monnet - centar izvrsnosti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</si>
  <si>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</si>
  <si>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</si>
  <si>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</si>
  <si>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</si>
  <si>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</si>
  <si>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</si>
  <si>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A679072.124</t>
  </si>
  <si>
    <t>Arts and Humanities Entrpreneurship Hubs</t>
  </si>
  <si>
    <t>A679072.125</t>
  </si>
  <si>
    <t>Erasmus +Transnational Alignment of English Competences for University Lectures” (TAEC)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</si>
  <si>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</si>
  <si>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</si>
  <si>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</si>
  <si>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</si>
  <si>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</si>
  <si>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</si>
  <si>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A679072.129</t>
  </si>
  <si>
    <t>Erazmus partnerske zemlje 2019/2021 - HR01-KA107-060242</t>
  </si>
  <si>
    <t>A679072.130</t>
  </si>
  <si>
    <t>Erazmus partnerske zemlje 2018/2020 - HR01-KA107-046921</t>
  </si>
  <si>
    <t>A679072.131</t>
  </si>
  <si>
    <t>Erazmus 2020 - HR01-KA107-077121</t>
  </si>
  <si>
    <t>A679072.132</t>
  </si>
  <si>
    <t>Erazmus 2019/20 - HR01-KA103-060229</t>
  </si>
  <si>
    <t>A679072.133</t>
  </si>
  <si>
    <t>Erazmus 2020/21 - HR01-KA103-077087</t>
  </si>
  <si>
    <t>A679072.134</t>
  </si>
  <si>
    <t>Zdravstveni opservatorij</t>
  </si>
  <si>
    <t>A679072.135</t>
  </si>
  <si>
    <t>e-škole:  Razvoj sustava digitalno zrelih škola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</si>
  <si>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</si>
  <si>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</si>
  <si>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</si>
  <si>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</si>
  <si>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</si>
  <si>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</si>
  <si>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</si>
  <si>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</si>
  <si>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</si>
  <si>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PRI-MJER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</si>
  <si>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</si>
  <si>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</si>
  <si>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</si>
  <si>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</si>
  <si>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A679072.143</t>
  </si>
  <si>
    <t>E-obuka o primjeni obiteljskog zakona EU-a za prekogranične parove kroz tečajeve e-učenja</t>
  </si>
  <si>
    <t>A679072.144</t>
  </si>
  <si>
    <t>EMPLOYS - razumijevanje, vrednovanje i poboljšanje dobrog upravljanja u radnim odnosima sportaša u olimpijskim sportovima u Europi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</si>
  <si>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</si>
  <si>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</si>
  <si>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</si>
  <si>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</si>
  <si>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</si>
  <si>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</si>
  <si>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A679072.148</t>
  </si>
  <si>
    <t>APOLD - Akademsko politehničko društvo</t>
  </si>
  <si>
    <t>A679072.149</t>
  </si>
  <si>
    <t>Flumen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</si>
  <si>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</si>
  <si>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</si>
  <si>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</si>
  <si>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</si>
  <si>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</si>
  <si>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</si>
  <si>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</si>
  <si>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</si>
  <si>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A679073.001</t>
  </si>
  <si>
    <t>ERASMUS+projekt organizacije studijskog boravka, stručnog osposobljavanja i mobilnosti studenata i zaposlenika Sveučilišta u Dubrovniku</t>
  </si>
  <si>
    <t>A679073.002</t>
  </si>
  <si>
    <t>ERASMUS+ Mobilnost studenata i osoblja unutar programskih zemalja-KA103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</si>
  <si>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</si>
  <si>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</si>
  <si>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</si>
  <si>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</si>
  <si>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</si>
  <si>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</si>
  <si>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</si>
  <si>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</si>
  <si>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</si>
  <si>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</si>
  <si>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</si>
  <si>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</si>
  <si>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A679073.011</t>
  </si>
  <si>
    <t>DigIT - izrada standarda zanimanja i standarda kvalifikacija u djelatnostima računarstva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</si>
  <si>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</si>
  <si>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</si>
  <si>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</si>
  <si>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</si>
  <si>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</si>
  <si>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</si>
  <si>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</si>
  <si>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</si>
  <si>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A679073.016</t>
  </si>
  <si>
    <t>DATACROSS- napredne metode i tehnologije u znanosti o podatcima i kooperativnim sustavima</t>
  </si>
  <si>
    <t>A679073.018</t>
  </si>
  <si>
    <t>Izvrsnost i učinkovitost u visokom obrazovanju u polju ekonomije E4</t>
  </si>
  <si>
    <t>A679073.023</t>
  </si>
  <si>
    <t>ESSENCE - usavršavanje vještina za njegovanje konkurentnosti i zapošljavanja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</si>
  <si>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</si>
  <si>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</si>
  <si>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</si>
  <si>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</si>
  <si>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A679074.001</t>
  </si>
  <si>
    <t>INTERREG MELAdetect projekt prekogranične suradnje u liječenju različitih vrsta melanoma</t>
  </si>
  <si>
    <t>A679074.002</t>
  </si>
  <si>
    <t>INTERREG STRONGER projekt osnivanja prekograničnog klastera i e-platforme iz područja prerađivačke industrije ljekovitog i začinskog bilja</t>
  </si>
  <si>
    <t>A679074.003</t>
  </si>
  <si>
    <t>INTERREG APPRODI projekt izrade strateškog plana za poticanje ekoturizma kroz istraživanja o povijesnim utjecajima pomorskog prometa</t>
  </si>
  <si>
    <t>A679074.004</t>
  </si>
  <si>
    <t>Zadar Baštini projekt stvaranja kulturno-turističkog proizvoda grada Zadra s ciljem povećanja turističke posjećenosti</t>
  </si>
  <si>
    <t>A679074.005</t>
  </si>
  <si>
    <t>MADE IN-LAND projekt očuvanja prirodnih i kulturnih resursa u unutrašnjosti Italije i Hrvatske</t>
  </si>
  <si>
    <t>A679074.006</t>
  </si>
  <si>
    <t>INTERREG DISCOVER projekt pozicioniranja slabije poznatih mjesta Italije i  Hrvatske na turističku kartu ponude</t>
  </si>
  <si>
    <t>A679074.007</t>
  </si>
  <si>
    <t>INTERREG REPLICATE projekt revitalizacije zabačenih područja i izgubljene baštine</t>
  </si>
  <si>
    <t>A679074.008</t>
  </si>
  <si>
    <t>INTERREG GUTTA projekt pilot akcije pronalaska eko-rute s naglaskom na zaštitu okoliša</t>
  </si>
  <si>
    <t>A679074.009</t>
  </si>
  <si>
    <t>INTERREG AADRIREEF -Inovativno iskorištavanje jadranskih grebena radi jačanja plave ekonomije</t>
  </si>
  <si>
    <t>A679074.010</t>
  </si>
  <si>
    <t>ERASMUS + LA GUIDE</t>
  </si>
  <si>
    <t>A679074.011</t>
  </si>
  <si>
    <t>ERASMUS + EU-CONEXUXS</t>
  </si>
  <si>
    <t>A679074.012</t>
  </si>
  <si>
    <t>SAN -Pametna poljoprivredna mreža</t>
  </si>
  <si>
    <t>A679074.013</t>
  </si>
  <si>
    <t>ERASMUS+ KA1- mobilnost u visokom obrazovanju</t>
  </si>
  <si>
    <t>A679074.014</t>
  </si>
  <si>
    <t>OPERAS- P H2020-INFRADEV-2018-2020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</si>
  <si>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</si>
  <si>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</si>
  <si>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</si>
  <si>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</si>
  <si>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</si>
  <si>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</si>
  <si>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</si>
  <si>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</si>
  <si>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</si>
  <si>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</si>
  <si>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</si>
  <si>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</si>
  <si>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A679074.021</t>
  </si>
  <si>
    <t>2CODE Intrr.  CBC Hrvatska -BIH i  - Crna gora</t>
  </si>
  <si>
    <t>A679075.001</t>
  </si>
  <si>
    <t>INTERREG DA SPACE projekt interdisciplinarne i međunarodne suradnja povezivanja akademskog, gospodarskog, istraživačkog i javnog sektora</t>
  </si>
  <si>
    <t>A679075.002</t>
  </si>
  <si>
    <t>INTERREG RE-WIND projekt prekogranične suradnje Italije i Hrvatske kroz neiskorišteni potencijal prirodne i kulturne baštine</t>
  </si>
  <si>
    <t>A679075.003</t>
  </si>
  <si>
    <t>INTERREG ADRIATIC ATLAS projekt prekogranične suradnje Italije i Hrvatske kroz neiskorišteni potencijal prirodne i kulturne baštine i poticanje pokretanja ICT tvrtki</t>
  </si>
  <si>
    <t>A679075.004</t>
  </si>
  <si>
    <t>INTERREG ALTEROUTES projekt krajobraznog upravljanja s ciljem smanjenja pritiska masovnog turizma na dragocjenu povijesnu baštinu</t>
  </si>
  <si>
    <t>A679075.005</t>
  </si>
  <si>
    <t>INTERREG RIVERS projekt poticanja kulturne industrije Italije i Hrvatske kroz praćenje podrijetla krajolika rijeka i njihovih ušća duž jadranske obale</t>
  </si>
  <si>
    <t>A679075.006</t>
  </si>
  <si>
    <t>INTERREG ARTHUR projekt praćenja i mjerenja kapaciteta noćenja u turističkim destinacijama radi usmjeravanja na manje opterećena turistička područja</t>
  </si>
  <si>
    <t>A679075.007</t>
  </si>
  <si>
    <t>ERASMUS KA103 Mobilnost studenata i osoblja Sveučilišta u Puli</t>
  </si>
  <si>
    <t>A679075.008</t>
  </si>
  <si>
    <t>ERASMUS KA107 Odlazne i dolazne mobilnosti studenata i osoblja Sveučilišta u Puli</t>
  </si>
  <si>
    <t>A679075.009</t>
  </si>
  <si>
    <t>ERASMUS+ KA2 - razvoj kapaciteta WILLIAM</t>
  </si>
  <si>
    <t>A679075.010</t>
  </si>
  <si>
    <t>ERASMUS KA2 - DYNAMIC</t>
  </si>
  <si>
    <t>A679075.011</t>
  </si>
  <si>
    <t>ERASMUS + KA103 Broj: 2020-1-HR01-KA103-077157 - Mobilnost studenata i osoblja Sveučilišta u Puli</t>
  </si>
  <si>
    <t>A679075.012</t>
  </si>
  <si>
    <t>ERASMUS + KA107 Broj: 2020-1-HR01-KA107-077587 - Odlazne i dolazne mobilnosti studenata i osoblja Sveučilišta u Puli</t>
  </si>
  <si>
    <t>A679075.013</t>
  </si>
  <si>
    <t>ERASMUS + KA202 broj: 2019-1-HR01-KA202-061006 - strukovno obrazovanje i osposobljavanje</t>
  </si>
  <si>
    <t>A679075.014</t>
  </si>
  <si>
    <t>Projekt "IN DIV EU"</t>
  </si>
  <si>
    <t>A679075.016</t>
  </si>
  <si>
    <t>Partnerstvo između znanstvenika I ribara</t>
  </si>
  <si>
    <t>A679075.017</t>
  </si>
  <si>
    <t>EU projekt - DA SPACE</t>
  </si>
  <si>
    <t>A679075.018</t>
  </si>
  <si>
    <t>Projekt IN DIV E</t>
  </si>
  <si>
    <t>A679075.019</t>
  </si>
  <si>
    <t>HKO FET</t>
  </si>
  <si>
    <t>A679075.020</t>
  </si>
  <si>
    <t>A679075.021</t>
  </si>
  <si>
    <t>EU projekt  DA SPACE</t>
  </si>
  <si>
    <t>A679075.022</t>
  </si>
  <si>
    <t>HKO-izvrsnost i učinkovitost na razini visokog obrazovanja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</si>
  <si>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</si>
  <si>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</si>
  <si>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</si>
  <si>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</si>
  <si>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A679076.001</t>
  </si>
  <si>
    <t>INTERREG SLO-HR Živi dvorci - projekt očuvanja kulturnog nasljeđa</t>
  </si>
  <si>
    <t>A679076.002</t>
  </si>
  <si>
    <t>ERASMUS+ KA103 Mobilnost studenata i osoblja Veleučilišta u Vukovaru</t>
  </si>
  <si>
    <t>A679076.003</t>
  </si>
  <si>
    <t>ERASMUS+ KA107</t>
  </si>
  <si>
    <t>A679076.004</t>
  </si>
  <si>
    <t>LIFE LYNX 16/NAT/SI/000634</t>
  </si>
  <si>
    <t>A679076.005</t>
  </si>
  <si>
    <t>Erasmus+</t>
  </si>
  <si>
    <t>A679076.006</t>
  </si>
  <si>
    <t>Milk-ed</t>
  </si>
  <si>
    <t>A679076.007</t>
  </si>
  <si>
    <t>EDUAGRNTERREG V-A HUNGARYI, I</t>
  </si>
  <si>
    <t>A679076.008</t>
  </si>
  <si>
    <t>Odčepljivanje ruralnog naslijeđa: autohtona proizvodnja fermentiranih pića za lokalnu kulturnu i okolišnu održivost, 2018-1-0682</t>
  </si>
  <si>
    <t>A679076.011</t>
  </si>
  <si>
    <t>Snaga vještina</t>
  </si>
  <si>
    <t>A679076.012</t>
  </si>
  <si>
    <t>Bespilotne letjelice</t>
  </si>
  <si>
    <t>A679076.014</t>
  </si>
  <si>
    <t>Measures</t>
  </si>
  <si>
    <t>A679076.017</t>
  </si>
  <si>
    <t>Razvoj uređaja sa potopljenim isparivačem</t>
  </si>
  <si>
    <t>A679076.024</t>
  </si>
  <si>
    <t>Rekonstrukcija zgrade oružane za centar kompetencija</t>
  </si>
  <si>
    <t>A679076.025</t>
  </si>
  <si>
    <t>Uncorking rural heritahege - autohtona proizvodnja fermentiranih pića radi lokalne kulturne i ekološke održivosti</t>
  </si>
  <si>
    <t>A679076.027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</si>
  <si>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</si>
  <si>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</si>
  <si>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</si>
  <si>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</si>
  <si>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A679077.003</t>
  </si>
  <si>
    <t>INTERREG MEDITERAN projekt unaprjeđenja turističkog znanja za oblikovanje i vođenje održivog turizma</t>
  </si>
  <si>
    <t>A679077.004</t>
  </si>
  <si>
    <t>ERASMUS+ Novi sveučilišni kurikul Cultural Studies in Business</t>
  </si>
  <si>
    <t>A679077.005</t>
  </si>
  <si>
    <t>WIRE 2020 Inovacije ekosustava i razvoj regija Europe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</si>
  <si>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</si>
  <si>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</si>
  <si>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</si>
  <si>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</si>
  <si>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A679077.008</t>
  </si>
  <si>
    <t>SAVE Sport Against Violence and Exclusion - Sportom protiv nasilja i isključenosti</t>
  </si>
  <si>
    <t>A679077.009</t>
  </si>
  <si>
    <t>ESA Program sportskih aktivnosti za djecu s tipičnim razvojem i potrebama</t>
  </si>
  <si>
    <t>A679077.010</t>
  </si>
  <si>
    <t>ENTIRE Mapiranje normativnog okvira za etiku provođenja istraživanja</t>
  </si>
  <si>
    <t>A679077.011</t>
  </si>
  <si>
    <t>VIR2UE Etika utemeljena na istraživačkoj čestitosti</t>
  </si>
  <si>
    <t>A679077.012</t>
  </si>
  <si>
    <t>SOPs4RI Europski kodeks ponašanja za istraživačku čestitost</t>
  </si>
  <si>
    <t>A679077.013</t>
  </si>
  <si>
    <t>INTERREG IPA CBC HR-BA-ME Unaprjeđenje dijagnostičkih i terapijskih usluga medicine spavanja u prekograničnom području južne Hrvatske i zapadne Bosne i Hercegovine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</si>
  <si>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</si>
  <si>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</si>
  <si>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</si>
  <si>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</si>
  <si>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A679077.019</t>
  </si>
  <si>
    <t>ERASMUS+ BESTSDI Izrada kurikula na temu infrastrukture prostornih podataka u zemljama Zapadnog Balkana</t>
  </si>
  <si>
    <t>A679077.022</t>
  </si>
  <si>
    <t>ERASMUS+ CAPUS Očuvanje umjetnosti u javnim prostorima</t>
  </si>
  <si>
    <t>A679077.024</t>
  </si>
  <si>
    <t>ERASMUS+ CABUFAL Izgradnja kapaciteta Pravnog fakulteta Crne Gore u procesu pristupanja EU</t>
  </si>
  <si>
    <t>A679077.026</t>
  </si>
  <si>
    <t>EUROPEAID: INTERCAP projekt mijenjanja javne percepcije o migracijama, sigurnosti i održivom razvoju u međuzavisnom svijetu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</si>
  <si>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</si>
  <si>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</si>
  <si>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</si>
  <si>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</si>
  <si>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A679077.030</t>
  </si>
  <si>
    <t>A679077.033</t>
  </si>
  <si>
    <t>ERASMUS+  Partnerske zemlje KA107 Odlazne i dolazne mobilnosti studenata i osoblja Sveučilišta u Splitu</t>
  </si>
  <si>
    <t>A679077.035</t>
  </si>
  <si>
    <t>A679077.037</t>
  </si>
  <si>
    <t>INTERREG-NET4mPLASTIC- Nove tehnologije za detekciju i analizu marko i mirkoplastike u Jadranskom bazenu</t>
  </si>
  <si>
    <t>A679077.038</t>
  </si>
  <si>
    <t>INTERREG PMO-GATE - sprječavanje, upravljanje i prevladavanje rizika od prirodnih katastrofa radi ublažavanja njihova utjecaja na gospodarstvo i društvo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</si>
  <si>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</si>
  <si>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</si>
  <si>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</si>
  <si>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</si>
  <si>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</si>
  <si>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</si>
  <si>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A679077.042</t>
  </si>
  <si>
    <t>INTERREG AdSWiM - Upravljano korištenje pročišćenih komunalnih otpadnih voda radi kvalitete Jadranskog mora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</si>
  <si>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</si>
  <si>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</si>
  <si>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</si>
  <si>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</si>
  <si>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</si>
  <si>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</si>
  <si>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A679077.046</t>
  </si>
  <si>
    <t>INTERREG MED ARISTOIL</t>
  </si>
  <si>
    <t>A679077.047</t>
  </si>
  <si>
    <t>INTERREG FAIRSEA- Ribolov u jadranskoj regiji zajednički pristup ekosustavu</t>
  </si>
  <si>
    <t>A679077.048</t>
  </si>
  <si>
    <t>INTERREG  WATERCARE</t>
  </si>
  <si>
    <t>A679077.049</t>
  </si>
  <si>
    <t>IP-ojačani, suzbijanje štetočina i izvan sezone IPM usmjeren protiv novih i novih voćnih muha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</si>
  <si>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</si>
  <si>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</si>
  <si>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</si>
  <si>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</si>
  <si>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</si>
  <si>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</si>
  <si>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A679077.053</t>
  </si>
  <si>
    <t>RMPPI - HR-BA-ME262- Održiva prekogranična inicijativa za obnovljive mikroelektrane</t>
  </si>
  <si>
    <t>A679077.054</t>
  </si>
  <si>
    <t>DATACROSS – Napredne metode i tehnologije u znanosti o podacima i kooperativnim sustavima</t>
  </si>
  <si>
    <t>A679077.055</t>
  </si>
  <si>
    <t>STIM-REI</t>
  </si>
  <si>
    <t>A679077.056</t>
  </si>
  <si>
    <t>Primjena HKO za sveučilišne studijske programe u području elektrotehnike</t>
  </si>
  <si>
    <t>A679077.057</t>
  </si>
  <si>
    <t>EUROfusion</t>
  </si>
  <si>
    <t>A679077.058</t>
  </si>
  <si>
    <t>FizKO - Razvoj studija fizike uz primjernu HKO</t>
  </si>
  <si>
    <t>A679077.059</t>
  </si>
  <si>
    <t>Razvoj tehnologije za procjenu autopurifikacijskih sposobnosti priobalnih voda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</si>
  <si>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</si>
  <si>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</si>
  <si>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</si>
  <si>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</si>
  <si>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</si>
  <si>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</si>
  <si>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A679077.063</t>
  </si>
  <si>
    <t>ERASMUS+ KA104 Obrazovanje odraslih</t>
  </si>
  <si>
    <t>A679077.064</t>
  </si>
  <si>
    <t>Provedba HKO u stručnim studijima računarstva</t>
  </si>
  <si>
    <t>A679077.065</t>
  </si>
  <si>
    <t>ASPEMS - Aktivni sustav za pohranu električne energije i stabilizaciju elektroenergetske mreže</t>
  </si>
  <si>
    <t>A679077.066</t>
  </si>
  <si>
    <t>ISPIS – Razvoj funkcionalnog prototipa sustava za potrage i spašavanja ljudi pomoću bespilotnih letjelica</t>
  </si>
  <si>
    <t>A679077.067</t>
  </si>
  <si>
    <t>Razvoj karijera mladih istraživača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</si>
  <si>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</si>
  <si>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</si>
  <si>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</si>
  <si>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</si>
  <si>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</si>
  <si>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</si>
  <si>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</si>
  <si>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</si>
  <si>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</si>
  <si>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</si>
  <si>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</si>
  <si>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</si>
  <si>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</si>
  <si>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</si>
  <si>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</si>
  <si>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</si>
  <si>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</si>
  <si>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</si>
  <si>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</si>
  <si>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</si>
  <si>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</si>
  <si>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</si>
  <si>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</si>
  <si>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</si>
  <si>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</si>
  <si>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</si>
  <si>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</si>
  <si>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</si>
  <si>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</si>
  <si>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</si>
  <si>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</si>
  <si>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</si>
  <si>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</si>
  <si>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</si>
  <si>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A679077.085</t>
  </si>
  <si>
    <t>WRECKS4ALL: jačanje i diverzifikacija turističke ponude na Jadranu</t>
  </si>
  <si>
    <t>A679077.086</t>
  </si>
  <si>
    <t>Europska akademija za poslovno i financijsko pravo</t>
  </si>
  <si>
    <t>A679077.088</t>
  </si>
  <si>
    <t>Ispitni sloj sljedeće generacije za nadogradnju mikrofluidnih uređaja na bazi nano omogućenih površina i membrana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</si>
  <si>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</si>
  <si>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</si>
  <si>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</si>
  <si>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</si>
  <si>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</si>
  <si>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</si>
  <si>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</si>
  <si>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</si>
  <si>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</si>
  <si>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</si>
  <si>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</si>
  <si>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</si>
  <si>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</si>
  <si>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</si>
  <si>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</si>
  <si>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</si>
  <si>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A679077.097</t>
  </si>
  <si>
    <t>Metode u istraživanju istraživanja MiRoR</t>
  </si>
  <si>
    <t>A679077.098</t>
  </si>
  <si>
    <t>A679077.099</t>
  </si>
  <si>
    <t>A679077.101</t>
  </si>
  <si>
    <t>AUTORE - Automotive derivative energy system</t>
  </si>
  <si>
    <t>A679077.103</t>
  </si>
  <si>
    <t>Erasmus+ mobilnost nastavnog i nenastavnog osblja u natječajnoj godini 2019</t>
  </si>
  <si>
    <t>A679077.105</t>
  </si>
  <si>
    <t>COST - NEW FRONTIERS OF PEER REVIEW</t>
  </si>
  <si>
    <t>A679077.106</t>
  </si>
  <si>
    <t>MLE - EUROPSKA KOMISIJA - GOVERMENTAL EXPERTS</t>
  </si>
  <si>
    <t>A679077.107</t>
  </si>
  <si>
    <t>Projekt Horizon 2020-FF IPM "In-silico boosted, pest prevention and off-season focused IPM against new and emerging fruit flies ('OFF-Season' FF- IPM)"</t>
  </si>
  <si>
    <t>A679077.108</t>
  </si>
  <si>
    <t>Projekt Potential for Using SIT, Mating Disruption and Other IPM Tools to Eradicate Box Tree Moth Incursions in the U.S.</t>
  </si>
  <si>
    <t>A679077.109</t>
  </si>
  <si>
    <t>Erasmus Plus Ka103 2020</t>
  </si>
  <si>
    <t>A679077.110</t>
  </si>
  <si>
    <t>Erasmus Mundus SUNBEAM -  Structured UNiversity mobility between the Balkans and Europe for the Adriatic-ionian Macro-region</t>
  </si>
  <si>
    <t>A679077.111</t>
  </si>
  <si>
    <t>Projekt Horizon 2020-Nextgen Microfluidics    "Next generation test bed for upscaling of microfluidic devices based on nano-enabled surfaces and membranes"</t>
  </si>
  <si>
    <t>A679077.112</t>
  </si>
  <si>
    <t>SI4CARE-  Socijalne inovacije za integriranu zdravstvenu njegu starijeg stanovništva u ADRION regijama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</si>
  <si>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</si>
  <si>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</si>
  <si>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</si>
  <si>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</si>
  <si>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</si>
  <si>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</si>
  <si>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</si>
  <si>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</si>
  <si>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</si>
  <si>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</si>
  <si>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A679077.118</t>
  </si>
  <si>
    <t>FAIR - automatsko institucionalno priznavanje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</si>
  <si>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</si>
  <si>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</si>
  <si>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</si>
  <si>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</si>
  <si>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</si>
  <si>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</si>
  <si>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</si>
  <si>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</si>
  <si>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</si>
  <si>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</si>
  <si>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</si>
  <si>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</si>
  <si>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</si>
  <si>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</si>
  <si>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</si>
  <si>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</si>
  <si>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</si>
  <si>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</si>
  <si>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A679077.129</t>
  </si>
  <si>
    <t>ZCIPM - Znanstveni centar izvrsnosti za personaliziranu medicinu</t>
  </si>
  <si>
    <t>A679077.130</t>
  </si>
  <si>
    <t>CEKOM - centar kompetencija u molekularnoj dijagnostici</t>
  </si>
  <si>
    <t>A679077.131</t>
  </si>
  <si>
    <t>SI4CARE - Socijalna inovacija za sveobuhvatnu zdravstvenu zaštitu starije populacije u regiji</t>
  </si>
  <si>
    <t>A679077.132</t>
  </si>
  <si>
    <t>MADE - Mobile Access Dental Clinic</t>
  </si>
  <si>
    <t>A679077.133</t>
  </si>
  <si>
    <t>FIZIODENT</t>
  </si>
  <si>
    <t>A679077.134</t>
  </si>
  <si>
    <t>KOSIR OBO - primjenjivost novih tehnologija za oporabu biljnog otpada</t>
  </si>
  <si>
    <t>A679077.135</t>
  </si>
  <si>
    <t>Unaprjeđenje kvalitete studiranja na pravnim fakultetima u RH</t>
  </si>
  <si>
    <t>A679077.136</t>
  </si>
  <si>
    <t>BOWI - poticanje digitalnih inovacija</t>
  </si>
  <si>
    <t>A679077.137</t>
  </si>
  <si>
    <t>Forenzička identifikacija ljudskih ostataka analizom MSCT snimaka CTforID</t>
  </si>
  <si>
    <t>A679078.001</t>
  </si>
  <si>
    <t>CoSMass Projekt proučavanja razvoja rasta zvjezdane mase središnjih supermasivnih crnih rupa kroz kozmičko vrijeme</t>
  </si>
  <si>
    <t>A679078.002</t>
  </si>
  <si>
    <t>AeRoTwin - Twinning koordinacijska akcija za širenje izvrsnosti i sudjelovanja u zračnoj robotici</t>
  </si>
  <si>
    <t>A679078.003</t>
  </si>
  <si>
    <t>ENDORSE Efikasno brusenje  robotskim sustavom potpomognuto HORSE okruženjem</t>
  </si>
  <si>
    <t>A679078.004</t>
  </si>
  <si>
    <t>Ostvarivanje sljedivosti za mjerenje kakvoće električne energije</t>
  </si>
  <si>
    <t>A679078.005</t>
  </si>
  <si>
    <t>ADRIATIC  Unaprjeđenje sposobnosti interakcije ronilac-robot</t>
  </si>
  <si>
    <t>A679078.006</t>
  </si>
  <si>
    <t>Napredni ručni detektori metala s mogućnošću diskriminacije oblika mete za uporabu u humanitarnom razminiranju</t>
  </si>
  <si>
    <t>A679078.009</t>
  </si>
  <si>
    <t>DESTination RAIL - FACT (Find, Analyse, Classify, Treat) alat za upravljanje željezničkom infrastrukturom</t>
  </si>
  <si>
    <t>A679078.010</t>
  </si>
  <si>
    <t>H2020  SAFE 10-T Razvoj sigurnosnog okvira za transportnu infrastrukturu</t>
  </si>
  <si>
    <t>A679078.011</t>
  </si>
  <si>
    <t>Regional Center Adria Umrežavanje dionika sektora mineralnih neenergetskih sirovina</t>
  </si>
  <si>
    <t>A679078.012</t>
  </si>
  <si>
    <t>HORIZON 2020 BBI - Razvijanje funkcionalnih molekula za biološke premaze</t>
  </si>
  <si>
    <t>A679078.013</t>
  </si>
  <si>
    <t>FITNESS Platforma za e-učenje svih aspekata pakiranja hrane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</si>
  <si>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</si>
  <si>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</si>
  <si>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</si>
  <si>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</si>
  <si>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</si>
  <si>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</si>
  <si>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A679078.017</t>
  </si>
  <si>
    <t>IRI IDG - Razvoj inovativne platforme za digitalnu transformaciju poduzeća</t>
  </si>
  <si>
    <t>A679078.018</t>
  </si>
  <si>
    <t>IRI HYPER - Razvoj inovativne platforme za digitalnu transformaciju poduzeća</t>
  </si>
  <si>
    <t>A679078.020</t>
  </si>
  <si>
    <t>ABCitiEs Razvoj novih vrsta poduzetničkih zajednica koje stvaraju atraktivnije lokalno poslovno okruženje</t>
  </si>
  <si>
    <t>A679078.021</t>
  </si>
  <si>
    <t>ERASMUS+ Potpora za nastavno i nenastavno osoblje</t>
  </si>
  <si>
    <t>A679078.022</t>
  </si>
  <si>
    <t>Obzor 2020  CEF - Poticanje istraživanja Connecting Europe Facilites i Norveške zaklade za znanost</t>
  </si>
  <si>
    <t>A679078.024</t>
  </si>
  <si>
    <t>ERASMUS+ projekt mobilnosti i aktivnosti studenata kroz istraživanja u inozemstvu</t>
  </si>
  <si>
    <t>A679078.030</t>
  </si>
  <si>
    <t>TEchnology TRAnsfer putem višenacionalnih aplikacija eXperiments</t>
  </si>
  <si>
    <t>A679078.031</t>
  </si>
  <si>
    <t>Immersive Visual Technologies (IVT) Vizualne tehnologije za sigurnosne aplikacije</t>
  </si>
  <si>
    <t>A679078.034</t>
  </si>
  <si>
    <t>OBZOR 2020 PentaHelix Inovativna metoda u provedbi održivog razvoja i klime</t>
  </si>
  <si>
    <t>A679078.035</t>
  </si>
  <si>
    <t>OBZOR 2020 PROSEU  PROSumers FOR THE Energy Union: integriranje aktivnog sudjelovanja građana u tranziciju energije</t>
  </si>
  <si>
    <t>A679078.036</t>
  </si>
  <si>
    <t>OBZOR 2020 UPGRADE DH Unaprjeđenje performansi daljinskog grijanja u Europi</t>
  </si>
  <si>
    <t>A679078.038</t>
  </si>
  <si>
    <t>Dubrovnik International ESEE Mining school Škola rudarstva za istočnu i jugoistočnu Europu</t>
  </si>
  <si>
    <t>A679078.039</t>
  </si>
  <si>
    <t>InvestRM Multifaktorski model za ulaganja u sektor sirovina</t>
  </si>
  <si>
    <t>A679078.040</t>
  </si>
  <si>
    <t>rESEErve Mineralni potencijal istočne i jugoistočne Europe (ESEE produčje)</t>
  </si>
  <si>
    <t>A679078.044</t>
  </si>
  <si>
    <t>EXERTER Mreža pan-europskih stručnjaka za sigurnost eksploziva</t>
  </si>
  <si>
    <t>A679078.048</t>
  </si>
  <si>
    <t>ERASMUS+  Razvijanje pismenosti i usvajanje jezika obrazovanja kod djece u nepovoljnom položaju (manjine, migranti i ostale skupine)</t>
  </si>
  <si>
    <t>A679078.050</t>
  </si>
  <si>
    <t>H2020 DOIT Poduzetničke vještine mladih socijalnih inovatora u otvorenom digitalnom svijetu</t>
  </si>
  <si>
    <t>A679078.052</t>
  </si>
  <si>
    <t>Digital Traceablity Chain for AC Voltage and Current omogućit će dinamičko mjerenje strujnih i naponskih valnih oblika</t>
  </si>
  <si>
    <t>A679078.060</t>
  </si>
  <si>
    <t>H2020 - NMBP ENCORE - BIM platforma u oblaku za energetski učinkovito i cjenovno efikasno renoviranje zgrada</t>
  </si>
  <si>
    <t>A679078.061</t>
  </si>
  <si>
    <t>H2020 - SGA EPI SGA1 - Inicijativa za Europski procesor</t>
  </si>
  <si>
    <t>A679078.062</t>
  </si>
  <si>
    <t>H2020 –WIDESPREAD –Twinning koordinacijska akcija u području otvorenih podataka</t>
  </si>
  <si>
    <t>A679078.064</t>
  </si>
  <si>
    <t>STRONG - 2020</t>
  </si>
  <si>
    <t>A679078.065</t>
  </si>
  <si>
    <t>H2020 Inovativni trening za metode u budućnosti (IMforFuture)</t>
  </si>
  <si>
    <t>A679078.066</t>
  </si>
  <si>
    <t>H2020 Pristup sistemske medicine za kronični infl.dis. (SYSCID)</t>
  </si>
  <si>
    <t>A679078.067</t>
  </si>
  <si>
    <t>H2020 Usporedna genomika beskralježnjaka koji nisu modelirani (IGNITE)</t>
  </si>
  <si>
    <t>A679078.069</t>
  </si>
  <si>
    <t>RADAR (Procjena rizika na cestama područja Dunava)</t>
  </si>
  <si>
    <t>A679078.070</t>
  </si>
  <si>
    <t>ERASMUS+  LOG-IN</t>
  </si>
  <si>
    <t>A679078.073</t>
  </si>
  <si>
    <t>OBZOR 2020 KeepWarm - Poboljšanje performansi sustava daljinskog grijanja u srednjoj i istočnoj Europi</t>
  </si>
  <si>
    <t>A679078.074</t>
  </si>
  <si>
    <t>OBZOR 2020 INEX ADAM - veća izvrsnost u proizvodnji naprednih aditiva</t>
  </si>
  <si>
    <t>A679078.075</t>
  </si>
  <si>
    <t>OBZOR 2020 QUIET - Kvalificiranje i primjena korisničkog dizajniranog i EfficienT električnog vozila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</si>
  <si>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</si>
  <si>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</si>
  <si>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</si>
  <si>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</si>
  <si>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A679078.078</t>
  </si>
  <si>
    <t>ERASMUS+ CASPROD -Prijestolnice razvoja pametnih proizvoda</t>
  </si>
  <si>
    <t>A679078.079</t>
  </si>
  <si>
    <t>ERASMUS+ TRAILs LSP Ljetna škola za učitelje</t>
  </si>
  <si>
    <t>A679078.080</t>
  </si>
  <si>
    <t>EMPIR ADVANCT - Računalna tomografija AdvancE za dimenzionalna mjerenja površina u industriji</t>
  </si>
  <si>
    <t>A679078.081</t>
  </si>
  <si>
    <t>NET-UBIEP</t>
  </si>
  <si>
    <t>A679078.082</t>
  </si>
  <si>
    <t>BIMzeED</t>
  </si>
  <si>
    <t>A679078.083</t>
  </si>
  <si>
    <t>HORIZON 2020 SOLARNET</t>
  </si>
  <si>
    <t>A679078.085</t>
  </si>
  <si>
    <t>INTERREG CHANGE WE CARE ITALIJA-HRVATSKA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</si>
  <si>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</si>
  <si>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</si>
  <si>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</si>
  <si>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</si>
  <si>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A679078.088</t>
  </si>
  <si>
    <t>Erasmus+ KA2 CBHE - ODISsEA - Inovativne strategije darivanja organa za jugoistočnu Aziju</t>
  </si>
  <si>
    <t>A679078.089</t>
  </si>
  <si>
    <t>OBZOR 2020 FAPIC - Brzi test za identifikaciju i karakterizaciju patogena</t>
  </si>
  <si>
    <t>A679078.090</t>
  </si>
  <si>
    <t>OBZOR 2020 - Biochip BIO inženjerski grafti za liječenje hrskavice u pacijenata</t>
  </si>
  <si>
    <t>A679078.091</t>
  </si>
  <si>
    <t>ERASMUS+ HEDU -LEARN-IT Harmonizirani europski dermato-venerološki dodiplomski</t>
  </si>
  <si>
    <t>A679078.093</t>
  </si>
  <si>
    <t>CEPIL</t>
  </si>
  <si>
    <t>A679078.094</t>
  </si>
  <si>
    <t>CROSSJUSTICE</t>
  </si>
  <si>
    <t>A679078.096</t>
  </si>
  <si>
    <t>ERASMUS + ASD-EAST</t>
  </si>
  <si>
    <t>A679078.097</t>
  </si>
  <si>
    <t>ASAP Training</t>
  </si>
  <si>
    <t>A679078.098</t>
  </si>
  <si>
    <t>IA_CHILD</t>
  </si>
  <si>
    <t>A679078.099</t>
  </si>
  <si>
    <t>OBZOR 2020-ISTRAŽIVANJE I INOVACIJE - H2020-MCCA-ITN-2017-EJD: 785423 MANNA</t>
  </si>
  <si>
    <t>A679078.100</t>
  </si>
  <si>
    <t>LIFE 16 NAT/SI/000634 PROJECT LIFE LYNX</t>
  </si>
  <si>
    <t>A679078.101</t>
  </si>
  <si>
    <t>EKHAGA</t>
  </si>
  <si>
    <t>A679078.102</t>
  </si>
  <si>
    <t>INTERREG CARNIVORA DINARICA - Prekogranična suradnja za dugoroočno očuvanje velikih zvijeri</t>
  </si>
  <si>
    <t>A679078.103</t>
  </si>
  <si>
    <t>TrainESSE v.2</t>
  </si>
  <si>
    <t>A679078.104</t>
  </si>
  <si>
    <t>MineHeritage</t>
  </si>
  <si>
    <t>A679078.105</t>
  </si>
  <si>
    <t>iTARG3T.Innovative targeting procesing of W-Sn-Ta-Li ores</t>
  </si>
  <si>
    <t>A679078.106</t>
  </si>
  <si>
    <t>ENGIE.Poticanje djevojčica da studiraju geoznanosti i inženjerstvo</t>
  </si>
  <si>
    <t>A679078.107</t>
  </si>
  <si>
    <t>STRATEGY CCUS</t>
  </si>
  <si>
    <t>A679078.108</t>
  </si>
  <si>
    <t>AMED</t>
  </si>
  <si>
    <t>A679078.111</t>
  </si>
  <si>
    <t>EIT HEALTH - Local activities in Regional Innovation Scheme regions</t>
  </si>
  <si>
    <t>A679078.112</t>
  </si>
  <si>
    <t>EKO SANDWICH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</si>
  <si>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</si>
  <si>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</si>
  <si>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</si>
  <si>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</si>
  <si>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</si>
  <si>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</si>
  <si>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</si>
  <si>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</si>
  <si>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A679078.117</t>
  </si>
  <si>
    <t>AMIGA</t>
  </si>
  <si>
    <t>A679078.118</t>
  </si>
  <si>
    <t>H 2020 RISE OpenInnoTrain</t>
  </si>
  <si>
    <t>A679078.120</t>
  </si>
  <si>
    <t>FOCUS -Prisilna raseljavanja i solidarnost zajednice domaćina prema izbjeglica</t>
  </si>
  <si>
    <t>A679078.122</t>
  </si>
  <si>
    <t>SMART</t>
  </si>
  <si>
    <t>A679078.124</t>
  </si>
  <si>
    <t>H2020-SC1-2016-2017-RIA PROJECT OSTEOPROSPINE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</si>
  <si>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</si>
  <si>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</si>
  <si>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</si>
  <si>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</si>
  <si>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</si>
  <si>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</si>
  <si>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</si>
  <si>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</si>
  <si>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</si>
  <si>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</si>
  <si>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A679078.131</t>
  </si>
  <si>
    <t>EFRR - IRI Agrivi Smart - Agrivi Smart</t>
  </si>
  <si>
    <t>A679078.132</t>
  </si>
  <si>
    <t>EFRR - IRI ARIEN - Upravljanje energetskom infrastrukturom kroz kolaboraciju u proširenoj stvarnosti</t>
  </si>
  <si>
    <t>A679078.133</t>
  </si>
  <si>
    <t>EFRR - IRI bigEVdata - IT rješenje analitike velikih skupova podataka emobilnosti</t>
  </si>
  <si>
    <t>A679078.134</t>
  </si>
  <si>
    <t>EFRR - IRI CCS - Cyber Conflict Simulator</t>
  </si>
  <si>
    <t>A679078.135</t>
  </si>
  <si>
    <t>EFRR - IRI CloudSec - Sigurnost računarstva u oblaku prilikom korištenja mobilnih aplikacija</t>
  </si>
  <si>
    <t>A679078.137</t>
  </si>
  <si>
    <t>EFRR - IRI DFDM - Istraživanje i razvoj sustava za prepoznavanje umora i distrakcije vozača</t>
  </si>
  <si>
    <t>A679078.139</t>
  </si>
  <si>
    <t>EFRR - IRI HSG - Helm Smart Grid</t>
  </si>
  <si>
    <t>A679078.141</t>
  </si>
  <si>
    <t>EFRR - IRI KONTRAC - KONTRAC GP170DC_SK - Razvoj pretvarača glavnog pogona tramvaja sa superkondenzatorskim modulom</t>
  </si>
  <si>
    <t>A679078.142</t>
  </si>
  <si>
    <t>EFRR - IRI Mareton - Razvoj nove generacije sustava neprekidnog napajanja</t>
  </si>
  <si>
    <t>A679078.144</t>
  </si>
  <si>
    <t>EFRR - IRI Omega GS - Razvoj  LED rasvjete</t>
  </si>
  <si>
    <t>A679078.146</t>
  </si>
  <si>
    <t>EFRR - IRI PC-ATE-Buildings - Razvoj sustava upravljanja i trgovanja energijom u zgradi</t>
  </si>
  <si>
    <t>A679078.147</t>
  </si>
  <si>
    <t>EFRR - IRI SafeTRAM - SafeTRAM - Sustav za povećanje sigurnosti vožnje tračničkog prometa</t>
  </si>
  <si>
    <t>A679078.148</t>
  </si>
  <si>
    <t>EFRR - IRI SMART UTX - SMART UTX:  Sustav za ultrazvučnu dijagnostiku u ekstremnim uvjetima</t>
  </si>
  <si>
    <t>A679078.150</t>
  </si>
  <si>
    <t>IRCiS Integracija djece izbjeglica u škole: izgradnja pozitivnih odnosa između djece izbjeglica i djece lokalnog stanovništva</t>
  </si>
  <si>
    <t>CEKOM Centar kompetencija u molekularnoj dijagnostici</t>
  </si>
  <si>
    <t>A679078.152</t>
  </si>
  <si>
    <t>POP-UP</t>
  </si>
  <si>
    <t>A679078.153</t>
  </si>
  <si>
    <t>EFRR - IRI RASCO-FER-SMART-EV - Kompaktna gradska vakuumska čistilica</t>
  </si>
  <si>
    <t>A679078.156</t>
  </si>
  <si>
    <t>STEM revolucija u zajednici</t>
  </si>
  <si>
    <t>ERASMUS+projekt FitBack</t>
  </si>
  <si>
    <t>A679078.186</t>
  </si>
  <si>
    <t>IRI CEKOM</t>
  </si>
  <si>
    <t>A679078.187</t>
  </si>
  <si>
    <t>ORKAN</t>
  </si>
  <si>
    <t>A679078.188</t>
  </si>
  <si>
    <t>ERASMUS + EDUBOTS</t>
  </si>
  <si>
    <t>A679078.189</t>
  </si>
  <si>
    <t>ERASMUS + E-DigiLit</t>
  </si>
  <si>
    <t>A679078.191</t>
  </si>
  <si>
    <t>RAST</t>
  </si>
  <si>
    <t>A679078.192</t>
  </si>
  <si>
    <t>LOMI</t>
  </si>
  <si>
    <t>A679078.193</t>
  </si>
  <si>
    <t>IC4HEDS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</si>
  <si>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</si>
  <si>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</si>
  <si>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</si>
  <si>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</si>
  <si>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</si>
  <si>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</si>
  <si>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</si>
  <si>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</si>
  <si>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A679078.199</t>
  </si>
  <si>
    <t>H2020-Swafs</t>
  </si>
  <si>
    <t>A679078.200</t>
  </si>
  <si>
    <t>H2020- upravljanje poljoprivrednom hranom</t>
  </si>
  <si>
    <t>A679078.203</t>
  </si>
  <si>
    <t>Centar pametnih urbanih i ruralnih prostora - Inovativna urbanistička i arhitektonska rješenja za povećanje energetske učinkovitosti u tradicijskim i zaštičenim cjelinama</t>
  </si>
  <si>
    <t>A679078.204</t>
  </si>
  <si>
    <t>Razvoj dvostruke fasade s hermetički zatvorenom šupljinom (H-CCF)</t>
  </si>
  <si>
    <t>A679078.206</t>
  </si>
  <si>
    <t>ERASMUS+KA2 Startup obrazovanje i podrška studentima doktorskih studija, istraživačima i znanstvenicima</t>
  </si>
  <si>
    <t>A679078.207</t>
  </si>
  <si>
    <t>ERASMUS+KA2 - Strateška partnerstva Geo3N</t>
  </si>
  <si>
    <t>A679078.208</t>
  </si>
  <si>
    <t>ERASMUS+KA2 - Strateška partnerstva SmartSoc</t>
  </si>
  <si>
    <t>A679078.209</t>
  </si>
  <si>
    <t>ERASMUS+KA2 - Strateška partnerstva ASKNOW</t>
  </si>
  <si>
    <t>A679078.210</t>
  </si>
  <si>
    <t>ERASMUS+KA2 - Strateška partnerstva INNOSID</t>
  </si>
  <si>
    <t>A679078.211</t>
  </si>
  <si>
    <t>ERASMUS+KA2 - Strateška partnerstva IMPACT - Inteligentni Pomorski Sustavi - put prema održivom obrazovanju, znanju i osnaživanju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</si>
  <si>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</si>
  <si>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</si>
  <si>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</si>
  <si>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</si>
  <si>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</si>
  <si>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</si>
  <si>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A679078.215</t>
  </si>
  <si>
    <t>H2020 - NMBP - ENCORE - BIM Cloud platforma svjesna energije, u ekonomičnom kontekstu renoviranja zgrada</t>
  </si>
  <si>
    <t>A679078.216</t>
  </si>
  <si>
    <t>H2020 - JTI-EuroHPC - MEEP - Eksperimentalna platforma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</si>
  <si>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</si>
  <si>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</si>
  <si>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</si>
  <si>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</si>
  <si>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A679078.219</t>
  </si>
  <si>
    <t>A679078.220</t>
  </si>
  <si>
    <t>H2020 – WIDESPREAD – Twinning AeRoTwin - Twinning koordinacijska akcija za širenje izvrsnosti i sudjelovanja u zračnoj robotici – AeRoTwin</t>
  </si>
  <si>
    <t>A679078.221</t>
  </si>
  <si>
    <t>H2020 - LCE - SGS CROSSBOW - CROSS BOARD Upravljanje promjenjivim obnovljivim izvorima energije i jedinicama za skladištenje omogućujući transnacionalno veletržnicu</t>
  </si>
  <si>
    <t>A679078.223</t>
  </si>
  <si>
    <t>H2020 - LC-SC3 FARCROSS Omogućavanje regionalne trgovine/razmjene električne energije kroz inovacije</t>
  </si>
  <si>
    <t>A679078.224</t>
  </si>
  <si>
    <t>ANETREC (611487-EPP-1-2019-1-SI-EPPJMO-NETWORK)</t>
  </si>
  <si>
    <t>A679078.225</t>
  </si>
  <si>
    <t>DEBATING EUROPE (620428-EPP-1-2020-1-DE-EPPJMO-NETWORK)</t>
  </si>
  <si>
    <t>A679078.226</t>
  </si>
  <si>
    <t>MEDIADELCOM</t>
  </si>
  <si>
    <t>A679078.227</t>
  </si>
  <si>
    <t>SESAR AISA - automatizaciju u upravljanju zračnim prometom</t>
  </si>
  <si>
    <t>A679078.228</t>
  </si>
  <si>
    <t>SESAR FMP MET - sektorska aplikacija s konvektivnim vremenskim informacijama za više izvora za položaj upravljanja protokom</t>
  </si>
  <si>
    <t>A679078.229</t>
  </si>
  <si>
    <t>SumBoost 2020 RIS Inovacija</t>
  </si>
  <si>
    <t>A679078.230</t>
  </si>
  <si>
    <t>MetForTC - Sljedive mjerne mogućnosti za praćenje rada termoparova</t>
  </si>
  <si>
    <t>A679078.231</t>
  </si>
  <si>
    <t>SEADRION - Poticanje širenja tehnologija grijanja i hlađenja pomoću pumpe morske vode u jadransko-jonskoj regiji</t>
  </si>
  <si>
    <t>A679078.232</t>
  </si>
  <si>
    <t>BLUE DEAL -  plava energija u mediteranskim obalnim područjima</t>
  </si>
  <si>
    <t>A679078.233</t>
  </si>
  <si>
    <t>REWARDHEAT- Uporaba topline iz obnovljivih izvora i otpada za konkurentne mreže daljinskog grijanja i hlađenja</t>
  </si>
  <si>
    <t>A679078.234</t>
  </si>
  <si>
    <t>SEEETD-Dijalog o tranziciji energije u jugoistočnoj Europi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</si>
  <si>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</si>
  <si>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</si>
  <si>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</si>
  <si>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</si>
  <si>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A679078.237</t>
  </si>
  <si>
    <t>Osiguranje električne energije u slučaju klimatskih ekstrema i prirodnih katastrofa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</si>
  <si>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</si>
  <si>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</si>
  <si>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</si>
  <si>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</si>
  <si>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</si>
  <si>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</si>
  <si>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A679078.242</t>
  </si>
  <si>
    <t>ELPID - platforma za e-učenje za inovativni razvoj proizvoda</t>
  </si>
  <si>
    <t>A679078.243</t>
  </si>
  <si>
    <t>OPORTO -Optimizacija održavanja sustava antikorozivne zaštite i zaštite protiv obraštanja ribarskih brodova</t>
  </si>
  <si>
    <t>A679078.244</t>
  </si>
  <si>
    <t>MORZ - Mreža organizacija ribara i znanstvenika</t>
  </si>
  <si>
    <t>A679078.246</t>
  </si>
  <si>
    <t>APROPO- Autonomno Pomoćno RibarskO PlovilO</t>
  </si>
  <si>
    <t>A679078.247</t>
  </si>
  <si>
    <t>DATACROSS -Napredne metode i tehnologije u znanosti o podatcima i kooperativnim sustavima</t>
  </si>
  <si>
    <t>A679078.248</t>
  </si>
  <si>
    <t>Edukacijom o strukturnim i investicijskim fondovima do inovacija u poduzetništvu</t>
  </si>
  <si>
    <t>A679078.249</t>
  </si>
  <si>
    <t>ASAP-Autonomni sustav za pregled i predviđanje integriteta prometne infrastrukture</t>
  </si>
  <si>
    <t>A679078.251</t>
  </si>
  <si>
    <t>Istraživanje i razvoj specijaliziranih multirotornih bespilotnih letjelica SPECDRON</t>
  </si>
  <si>
    <t>A679078.252</t>
  </si>
  <si>
    <t>Razvoj hibridnog skidera - HISKID</t>
  </si>
  <si>
    <t>A679078.253</t>
  </si>
  <si>
    <t>Primjena Hrvatskog kvalifikacijskog okvira u području biomedicinskog inženjerstva - HKO-BI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</si>
  <si>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</si>
  <si>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</si>
  <si>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</si>
  <si>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</si>
  <si>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</si>
  <si>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</si>
  <si>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</si>
  <si>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</si>
  <si>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</si>
  <si>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</si>
  <si>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</si>
  <si>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</si>
  <si>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A679078.263</t>
  </si>
  <si>
    <t>TRANSBOT -H2020</t>
  </si>
  <si>
    <t>A679078.264</t>
  </si>
  <si>
    <t>Potrošački angažman u obnovi zgrada i obnovi za klimatske akcije na terenu</t>
  </si>
  <si>
    <t>A679078.265</t>
  </si>
  <si>
    <t>BUS - GoCircular-H2020</t>
  </si>
  <si>
    <t>A679078.266</t>
  </si>
  <si>
    <t>BUILDUP -SKILLSBANK-H2020</t>
  </si>
  <si>
    <t>OBZOR 2020 Znanost i tehnologija u politici pretilosti djece- STOP</t>
  </si>
  <si>
    <t>WE-CARE Projekt: Uspostavljanjem nacionalne skrbi i razvojnim centrima podržavamo elitne sportaše u uravnoteženju rezultata sporta i obrazovanja / zapošljavanja</t>
  </si>
  <si>
    <t>Projekt: Stvaranje mehanizama za kontinuiranu provedba sportskog kluba za zdravlje u Europskoj uniji</t>
  </si>
  <si>
    <t>A679078.270</t>
  </si>
  <si>
    <t>Erasmus + EPL Europska licenca za propisivanje</t>
  </si>
  <si>
    <t>A679078.271</t>
  </si>
  <si>
    <t>Obzor 2020 LiverScreen - Probir na fibrozu jetre - populacijsko istraživanje u europskim zemljama</t>
  </si>
  <si>
    <t>A679078.272</t>
  </si>
  <si>
    <t>HKO projekt Unapređenje postojećeg integriranog preddiplomskog i diplomskog studijskog programa Medicina</t>
  </si>
  <si>
    <t>A679078.274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</si>
  <si>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</si>
  <si>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</si>
  <si>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</si>
  <si>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</si>
  <si>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</si>
  <si>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A679078.281</t>
  </si>
  <si>
    <t>ERASMUS+  KA2 TIME</t>
  </si>
  <si>
    <t>A679078.282</t>
  </si>
  <si>
    <t>MEMORIE Mjere prilagodbe klimatskim promjenama za održivo upravljanje prirodnim resursima</t>
  </si>
  <si>
    <t>A679078.283</t>
  </si>
  <si>
    <t>IRI- IMforFUTURE - aktivnosti istraživanja i razvoja</t>
  </si>
  <si>
    <t>A679078.284</t>
  </si>
  <si>
    <t>RESTORE - Procjena ostataka crvenog blata u regiji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</si>
  <si>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</si>
  <si>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</si>
  <si>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</si>
  <si>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</si>
  <si>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</si>
  <si>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</si>
  <si>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A679078.288</t>
  </si>
  <si>
    <t>ECOBIAS -  ekološko praćenje i procjenu vodenih bioloških ustanova</t>
  </si>
  <si>
    <t>A679078.289</t>
  </si>
  <si>
    <t>IRI- REMAKE - Razvoj efikasne metodologije za analizu konstrukcije plovnih objekata metodom konačnih elemenata</t>
  </si>
  <si>
    <t>A679078.290</t>
  </si>
  <si>
    <t>KLIMOD - Računalni model strujanja, poplavljivanja i širenja onečišćenja u rijekama i obalnim morskim područjima</t>
  </si>
  <si>
    <t>A679078.291</t>
  </si>
  <si>
    <t>ERASMUS + KA2 PROMISE - Obrazovanje zasnovano na upitima za personaliziranu medicinu</t>
  </si>
  <si>
    <t>A679078.292</t>
  </si>
  <si>
    <t>MOBI-US - Prijevod programa na engleski za suradnju s drugim fakultetima u Europi s istim programima</t>
  </si>
  <si>
    <t>A679078.293</t>
  </si>
  <si>
    <t>RM@Schools-ESEE - Povezivanje obrazovnih ustanova u ESEE regiji s industrijom</t>
  </si>
  <si>
    <t>A679078.294</t>
  </si>
  <si>
    <t>RIS obrazovanje i poduzetništvo</t>
  </si>
  <si>
    <t>A679078.295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</si>
  <si>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</si>
  <si>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</si>
  <si>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</si>
  <si>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</si>
  <si>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</si>
  <si>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</si>
  <si>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A679078.300</t>
  </si>
  <si>
    <t>Erasmus + dijalog u obrazovanju odraslih (DIA)</t>
  </si>
  <si>
    <t>A679078.301</t>
  </si>
  <si>
    <t>INTERREG Central Europe Store4HUC- Integracija i napredno gospodarenje sustavima za pohranu energije na povijesnim lokalitetima u gradovima</t>
  </si>
  <si>
    <t>A679078.302</t>
  </si>
  <si>
    <t>EERR-IRI-II RI2MOFA - Razvoj inteligentne interaktivne modularne fasade</t>
  </si>
  <si>
    <t>A679078.303</t>
  </si>
  <si>
    <t>INTERREG-DUNAV DanuP-2-Gas-DanuP-2-Gas: Inovativni model za potporu sigurnosti i diversifikaciju u dunavskoj regiji kombiniranjem energije iz biomase s viskovima obnovljive energije</t>
  </si>
  <si>
    <t>A679078.304</t>
  </si>
  <si>
    <t>INTERREG-IT-HR InnovaMare- Plava tehnologija - razvijanje inovativnih tehnologija za održivosti Jadranskog mora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</si>
  <si>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</si>
  <si>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</si>
  <si>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</si>
  <si>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</si>
  <si>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</si>
  <si>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</si>
  <si>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</si>
  <si>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</si>
  <si>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</si>
  <si>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</si>
  <si>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</si>
  <si>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</si>
  <si>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A679078.311</t>
  </si>
  <si>
    <t>EFRR-IR-II CEGlog- Istraživanje i razvoj jedinstvenog sustava za logističku i transportnu optimizaciju</t>
  </si>
  <si>
    <t>A679078.312</t>
  </si>
  <si>
    <t>EFFRR-CEKOM-SUS- Centar kompetencija za kibernetičku sigurnost upravljačkih sustava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</si>
  <si>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</si>
  <si>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</si>
  <si>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</si>
  <si>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</si>
  <si>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</si>
  <si>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</si>
  <si>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A679078.316</t>
  </si>
  <si>
    <t>EFRR-IR-II ENEDAT- Razvoj pametnog modularnog sustava upravljanja pogonom dizala za povećanje energetske učinkovitosti zgrade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</si>
  <si>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</si>
  <si>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</si>
  <si>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</si>
  <si>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</si>
  <si>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</si>
  <si>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</si>
  <si>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</si>
  <si>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</si>
  <si>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</si>
  <si>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</si>
  <si>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</si>
  <si>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</si>
  <si>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</si>
  <si>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</si>
  <si>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</si>
  <si>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</si>
  <si>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</si>
  <si>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</si>
  <si>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A679078.326</t>
  </si>
  <si>
    <t>EFRR-IR-II SMAGRILOS- Sustav za optimizaciju gubitaka u naprednim mrežama</t>
  </si>
  <si>
    <t>A679078.327</t>
  </si>
  <si>
    <t>EFRR-IR-II SOC4- Platforma za nadzor ugroza u heterogenim mrežnim okruženjima</t>
  </si>
  <si>
    <t>A679078.328</t>
  </si>
  <si>
    <t>EFRR-IR-II SUPELEK- Sustav za upravljanje potrošnjom električne energije u kućanstvima</t>
  </si>
  <si>
    <t>A679078.329</t>
  </si>
  <si>
    <t>EFRR-IR-II Agrivi Smart- povećanje produktivnosti uzgoja krumpira uz pomoć algoritma strojnog učenja</t>
  </si>
  <si>
    <t>A679078.330</t>
  </si>
  <si>
    <t>EFRR-IR-II bigEVdata- IT rješenja analitike velikih skupova podataka emobilnosti</t>
  </si>
  <si>
    <t>A679078.332</t>
  </si>
  <si>
    <t>EFRR-IR-II CloudSec- Sigurnost računarstva u oblaku prilikom korištenja mobilnih aplikacija</t>
  </si>
  <si>
    <t>A679078.333</t>
  </si>
  <si>
    <t>EFRR-IR-II DFDM- Istraživanje i razvoj sustava za prepoznavanje umora i distrakcije vozača</t>
  </si>
  <si>
    <t>A679078.334</t>
  </si>
  <si>
    <t>EFRR-IR EKORAS24- Ekološki prihvatljiva rastavna sklopka 24kV za napredne mreže</t>
  </si>
  <si>
    <t>A679078.335</t>
  </si>
  <si>
    <t>EFRR-IRI Geolux- 4D akustična kamera</t>
  </si>
  <si>
    <t>A679078.336</t>
  </si>
  <si>
    <t>EFRR-IRI HSG - Helm Smart Grid</t>
  </si>
  <si>
    <t>A679078.337</t>
  </si>
  <si>
    <t>EFRR-IRI KONPRO 2 - Razvoj nove generacije uređaja numeričke zaštite</t>
  </si>
  <si>
    <t>A679078.338</t>
  </si>
  <si>
    <t>EFRR- IRI KONTRAC - Razvoj pretvarača glavnog pogona tramvaja sa superkondezatorskim modulom</t>
  </si>
  <si>
    <t>A679078.339</t>
  </si>
  <si>
    <t>EFRR- IRI Mareton - Razvoj nove generacije industrijskih modularnih, redundantnih, višeizlaznih sustava neprekidnog napajanja istosmjernim i izmjeničnim naponima</t>
  </si>
  <si>
    <t>A679078.340</t>
  </si>
  <si>
    <t>EFRR- IRI MAS- Razvoj multifunkcionalnog antiterorističkog sustava</t>
  </si>
  <si>
    <t>A679078.341</t>
  </si>
  <si>
    <t>EFRR- IRI Omega GS- Razvoj otvorene pametne mreže energetski učinkovite javne LED rasvjete</t>
  </si>
  <si>
    <t>A679078.342</t>
  </si>
  <si>
    <t>EFRR- IRI OperOSS- Istraživanja i razvoj naprednog sustava za upravljanje pametnim elektroenergetskim i komunikacijskim mrežama</t>
  </si>
  <si>
    <t>A679078.343</t>
  </si>
  <si>
    <t>EFRR- IRI PC-ATE-Buildings- Razvoj sustava prediktivnog upravljanja i automatskog trovanja energijom u zgradi</t>
  </si>
  <si>
    <t>A679078.344</t>
  </si>
  <si>
    <t>EFRR- IRI SMART UTX: Pametni modularni sustav za ultrazvučnu dijagnostiku u ekstremnim uvjetima</t>
  </si>
  <si>
    <t>ERASMUS + Projekt: SC4H Network</t>
  </si>
  <si>
    <t>A679078.347</t>
  </si>
  <si>
    <t>ERASMUS+mobilnost osoblja zmeđu programskih i partnerskih zemalja u svrhu podučavanja KA 107</t>
  </si>
  <si>
    <t>A679078.349</t>
  </si>
  <si>
    <t>SABRINA</t>
  </si>
  <si>
    <t>A679078.350</t>
  </si>
  <si>
    <t>SLAIN</t>
  </si>
  <si>
    <t>A679078.351</t>
  </si>
  <si>
    <t>SumBoost</t>
  </si>
  <si>
    <t>A679078.354</t>
  </si>
  <si>
    <t>ERASMUS + K2, 1.1.2020.-31.12.2022., 612248-EPP-1-2019-BG-EPPKA2-KA, ICT IN TEXTILE AND CLOTHING HIGHER EDUCATION I BUSINESS</t>
  </si>
  <si>
    <t>A679078.355</t>
  </si>
  <si>
    <t>ERASMUS+ Education Curricula Development on the Collaborative Economy in Europe COLECO (2019-1-UK01-KA201-062118)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</si>
  <si>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</si>
  <si>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</si>
  <si>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</si>
  <si>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</si>
  <si>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A679078.361</t>
  </si>
  <si>
    <t>HKO akademija u hodu</t>
  </si>
  <si>
    <t>A679078.362</t>
  </si>
  <si>
    <t>HKO FIZKO- Sveučilište u Rijeci</t>
  </si>
  <si>
    <t>A679078.363</t>
  </si>
  <si>
    <t>HORIZON 2020- DRYVER</t>
  </si>
  <si>
    <t>A679078.365</t>
  </si>
  <si>
    <t>Tenure Track Pilot Programe - Exotic Nuclear Structure and Dynamics</t>
  </si>
  <si>
    <t>A679078.366</t>
  </si>
  <si>
    <t>KLIMA-4HR</t>
  </si>
  <si>
    <t>A679078.369</t>
  </si>
  <si>
    <t>Obzor 2020. ERASE_GBV Education and Raising Awareness in Schools to Prevent and Encounter Gender-Based Violence: Developing and implementing a training programme for teachers and other professionals at school</t>
  </si>
  <si>
    <t>A679078.370</t>
  </si>
  <si>
    <t>CEF MARCELL Multilingual Resources for CEF.AT in the legal domain</t>
  </si>
  <si>
    <t>A679078.371</t>
  </si>
  <si>
    <t>CEF PRINCIPLE Providing Resources in Irish, Norwegian, Croatian and Icelandic for Purposes of Language Engineering</t>
  </si>
  <si>
    <t>A679078.373</t>
  </si>
  <si>
    <t>Erasmus+ Development of innovative approach for training for university professors to work in the modern diverse and intercultural environment, UniCulture</t>
  </si>
  <si>
    <t>A679078.374</t>
  </si>
  <si>
    <t>Erasmus+, aktivnost Strateško partnerstvo HERISTEM - STEM in Heritage Sciences</t>
  </si>
  <si>
    <t>A679078.375</t>
  </si>
  <si>
    <t>Erasmus + Reforming Foreigne Languages in Academia in Montenegro - ReFALME</t>
  </si>
  <si>
    <t>A679078.376</t>
  </si>
  <si>
    <t>12-HERA-JRP-CE-FP-091 projekt ENTRAS Encounters and Transformationa in Iron Age Europe</t>
  </si>
  <si>
    <t>A679078.378</t>
  </si>
  <si>
    <t>HRZZ Golobalni humanizmi:Novi pogledi na Srednji Vijek</t>
  </si>
  <si>
    <t>A679078.379</t>
  </si>
  <si>
    <t>E-rudito: Napredni online obrazovni sustav za pametnu specijalizaciju i poslove budućnosti</t>
  </si>
  <si>
    <t>A679078.382</t>
  </si>
  <si>
    <t>HKO Zadar</t>
  </si>
  <si>
    <t>A679078.383</t>
  </si>
  <si>
    <t>TODO-TWINING OPEN DANA</t>
  </si>
  <si>
    <t>A679078.384</t>
  </si>
  <si>
    <t>SPIDER ERASMUS+STRATEGIC PARTNERSHIP</t>
  </si>
  <si>
    <t>A679078.385</t>
  </si>
  <si>
    <t>ERASMUS+SDI AND EO EDUCATION AND TRAINING FOR NORTH AFRICA(SEED4NA)</t>
  </si>
  <si>
    <t>A679078.386</t>
  </si>
  <si>
    <t>GEOBIZ-ERASMUS+Ka2 IZGRADNJA KAPACITETA U PODRUČJU VISOKOG OBRAZOVANJA</t>
  </si>
  <si>
    <t>A679078.391</t>
  </si>
  <si>
    <t>ADRIATIC - Unaprjeđenje sposobnosti interakcije ronilac-robot</t>
  </si>
  <si>
    <t>A679078.392</t>
  </si>
  <si>
    <t>AEROWIND-Autonomna inspekcija vjetroelektrana primjenom bespilotnih letjelica</t>
  </si>
  <si>
    <t>A679078.393</t>
  </si>
  <si>
    <t>AIDEFEND-Sustav umjetne inteligencije za autonomni nadzor i upravljanje sigurnosti cloud okruženja - AI DFENDER</t>
  </si>
  <si>
    <t>A679078.397</t>
  </si>
  <si>
    <t>AWAKE - Ultra low power wake-up interfaces for autonomous robotic sensor networks in sea/subsea environments</t>
  </si>
  <si>
    <t>A679078.398</t>
  </si>
  <si>
    <t>CADDY-Cognitive autonomous diving buddy</t>
  </si>
  <si>
    <t>A679078.399</t>
  </si>
  <si>
    <t>CALIPER-	Projekt CALIPER: Povezivanje istraživanja i inovacija za ravnopravnost spolova"</t>
  </si>
  <si>
    <t>A679078.400</t>
  </si>
  <si>
    <t>CASHPRED-Predviđanje vremena i obrazaca ponašanja novčanih tokova u međunarodnim bankovnim računima</t>
  </si>
  <si>
    <t>A679078.403</t>
  </si>
  <si>
    <t>CE-PEP-Razvoj inovativnog polifaznog elektromotornog pogona - PEP</t>
  </si>
  <si>
    <t>A679078.404</t>
  </si>
  <si>
    <t>CMETA-Analysis and design of curved metamaterial structures"</t>
  </si>
  <si>
    <t>A679078.405</t>
  </si>
  <si>
    <t>COGSTEPS - Crossing the Gap: Startup edukacija i potpora doktorandima, istraživačima i znanstvenicima</t>
  </si>
  <si>
    <t>A679078.407</t>
  </si>
  <si>
    <t>CUVME2 - Kooperativna bespilotna vozila u pomorskom okruženju: Eksperimenti na moru 2</t>
  </si>
  <si>
    <t>A679078.410</t>
  </si>
  <si>
    <t>DIGIT- Dig IT - Izrada standarda zanimanja i standarda kvalifikacija u djelatnostima računarstva</t>
  </si>
  <si>
    <t>A679078.413</t>
  </si>
  <si>
    <t>DUV-NRKBE - Razvoj daljinski upravljanog vozila za djelovanje u ekstremnim NRKBE uvjetima</t>
  </si>
  <si>
    <t>A679078.414</t>
  </si>
  <si>
    <t>EKO-KOMVOZ - Ekološki prihvatljivo vozilo za čišćenje javnih površina sa sustavima autonomnog upravljanja zasnovanim na umjetnoj inteligenciji</t>
  </si>
  <si>
    <t>A679078.415</t>
  </si>
  <si>
    <t>ENDORSE-Efikasno brusenje robotskim sustavom potpomognuto HORSE okruženjem</t>
  </si>
  <si>
    <t>A679078.417</t>
  </si>
  <si>
    <t>EULIFT - Razvoj pametnog modularnog sustava upravljanja pogonom dizala za povećanje energetske učinkovitosti zgrade</t>
  </si>
  <si>
    <t>A679078.418</t>
  </si>
  <si>
    <t>EUMR-Istraživačka infrastrukturna mreža u području pomorske robotike</t>
  </si>
  <si>
    <t>A679078.428</t>
  </si>
  <si>
    <t>HELB-Sustav za optimizaciju gubitaka u naprednim mrežama</t>
  </si>
  <si>
    <t>A679078.429</t>
  </si>
  <si>
    <t>HKO-ELE - Primjena Hrvatskog kvalifikacijskog okvira za sveučilišne studijske programe u području elektrotehnike</t>
  </si>
  <si>
    <t>A679078.430</t>
  </si>
  <si>
    <t>IAC-Tečaj industrijske akustike o buci, utjecaju buke na ljude i buci okoliša</t>
  </si>
  <si>
    <t>A679078.433</t>
  </si>
  <si>
    <t>IMMERSAFE-Uronjene vizualne tehnologije za sigurnosno kritične aplikacije</t>
  </si>
  <si>
    <t>A679078.435</t>
  </si>
  <si>
    <t>INTIS-Punionica električnih vozila s integriranim baterijskim spremnikom</t>
  </si>
  <si>
    <t>A679078.437</t>
  </si>
  <si>
    <t>IRI2-OIE - Integrirano rješenje za upravljanje imovinom i podršku investicijskim procesima projektiranja, planiranja i provedbe izgradnje obnovljivih izvora energije</t>
  </si>
  <si>
    <t>A679078.438</t>
  </si>
  <si>
    <t>IRI-RPA-Razvoj potopljenog agregata za male hidroelektrane s niskim padom vode</t>
  </si>
  <si>
    <t>A679078.441</t>
  </si>
  <si>
    <t>LAMCAB - Razvoj tehnologije povezivanja komponenti upravljačkih električnih ormara upotrebom laminiranih vodiča</t>
  </si>
  <si>
    <t>A679078.442</t>
  </si>
  <si>
    <t>MAGEF-Tehnologija električnih strojeva s trajnim magnetima za povećanje energetske učinkovitosti u električnoj vuči i brodskoj propulziji</t>
  </si>
  <si>
    <t>A679078.444</t>
  </si>
  <si>
    <t>MBZIRC - The Mohamed Bin Zayed medjunarodno natjecanje iz robotike</t>
  </si>
  <si>
    <t>A679078.445</t>
  </si>
  <si>
    <t>MERIA - Matematičko obrazovanje - značajno, zanimljivo i primjenjivo</t>
  </si>
  <si>
    <t>A679078.446</t>
  </si>
  <si>
    <t>METASHAPE-Napredni ručni detektori metala s mogućnošću diskriminacije oblika mete za uporabu u humanitarnom razminiranju</t>
  </si>
  <si>
    <t>A679078.450</t>
  </si>
  <si>
    <t>MUNIVO - Razvoj MUltifunkcionalnog NIskopodnog VOzila</t>
  </si>
  <si>
    <t>A679078.452</t>
  </si>
  <si>
    <t>NOFTUNE - Nefosterovske mreže za podesive i šrokopojasne radiofrekvencjske uređaje</t>
  </si>
  <si>
    <t>A679078.453</t>
  </si>
  <si>
    <t>OKTUKOM-Osiguravanje kvalitete telekomunikacijskih usluga korištenjem mehanizma kibernetičke sigurnosti</t>
  </si>
  <si>
    <t>A679078.454</t>
  </si>
  <si>
    <t>OPENLOT-Open Source blueprint for large scale self-organizing cloud environments for IoT applications</t>
  </si>
  <si>
    <t>A679078.458</t>
  </si>
  <si>
    <t>RESDATA - Rješenja prilagodbe elektroenergetskog sustava klimatskim promjenama temeljena na velikim količinama podataka</t>
  </si>
  <si>
    <t>A679078.461</t>
  </si>
  <si>
    <t>ROBOGIRLS - Osnaživanje djevojaka u STEAM-u kroz robotiku i kodiranje</t>
  </si>
  <si>
    <t>A679078.463</t>
  </si>
  <si>
    <t>ROTOTEMP - Nova generacija telemetrijske tehnologije za mjerenje na rotacijskim komponentama spojke</t>
  </si>
  <si>
    <t>A679078.464</t>
  </si>
  <si>
    <t>SAFELOG-Sigurna interakcija ljudi i robota u logističkim primjenama za visoko fleksibilna skladišta</t>
  </si>
  <si>
    <t>A679078.466</t>
  </si>
  <si>
    <t>SENFUS-Fuzija senzora</t>
  </si>
  <si>
    <t>A679078.467</t>
  </si>
  <si>
    <t>SHVET-Pametni pristup razvoju strukovnih vještina za visokoobrazovanu i mobilnu radnu snagu</t>
  </si>
  <si>
    <t>A679078.468</t>
  </si>
  <si>
    <t>SMARTSOC-Edukacija budućih IKT stručnjaka na temelju potreba pametnog društva (SmartSoc)</t>
  </si>
  <si>
    <t>A679078.469</t>
  </si>
  <si>
    <t>SPRAY-Razvoj sustava za ispitivanje višefaznih strujanja i izgaranja s ciljem povećanja istraživačkih aktivnosti znanstvenog i poslovnog sektora</t>
  </si>
  <si>
    <t>A679078.470</t>
  </si>
  <si>
    <t>STRIDE-Energetsko planiranje integracijom koncepata pametne mreže u Dunavskoj regiji</t>
  </si>
  <si>
    <t>A679078.471</t>
  </si>
  <si>
    <t>TEAMSOC21 - The ICT Engineer of the 21st Century: Mastering Technical Competencies, Management Skills, and Societal Responsibilities</t>
  </si>
  <si>
    <t>A679078.472</t>
  </si>
  <si>
    <t>TETRAMAX-TEchnology TRAnsfer via Multinational Application eXperiments</t>
  </si>
  <si>
    <t>A679078.473</t>
  </si>
  <si>
    <t>UGRIP - microGRId Positioning</t>
  </si>
  <si>
    <t>A679078.477</t>
  </si>
  <si>
    <t>VHEASTR-Znanstvenoistraživačka aktivnost hrvatske grupe u kolaboracijama MAGIC I CTA</t>
  </si>
  <si>
    <t>A679078.478</t>
  </si>
  <si>
    <t>A679078.482</t>
  </si>
  <si>
    <t>Better future of healthy ageing 2020.</t>
  </si>
  <si>
    <t>A679078.485</t>
  </si>
  <si>
    <t>NZEB ROADSHOW-H2020</t>
  </si>
  <si>
    <t>A679078.486</t>
  </si>
  <si>
    <t>H2020 INCEPTION</t>
  </si>
  <si>
    <t>A679078.487</t>
  </si>
  <si>
    <t>Erasmus+ Programme 2014-2020, Agreement no.2016-1-TR01-KA203-034710</t>
  </si>
  <si>
    <t>A679078.488</t>
  </si>
  <si>
    <t>H2020 Productive Green Infrastructure for post-industrial urban regeneration</t>
  </si>
  <si>
    <t>A679078.489</t>
  </si>
  <si>
    <t>Erasmus+: Healthy Urban Environment: Developing higer education in Architecture and Construction in Bosnia and Herzegovina (2018-2480/001-001)</t>
  </si>
  <si>
    <t>A679078.490</t>
  </si>
  <si>
    <t>Erasmus+: Architecture's afterlife: The multi-sector impact of an architectural qualification 2019-1-UK01-KA203-062062</t>
  </si>
  <si>
    <t>A679078.491</t>
  </si>
  <si>
    <t>Znanost spaja ljude (SCOPE - Science Connecting people)</t>
  </si>
  <si>
    <t>A679078.493</t>
  </si>
  <si>
    <t>FIGHTER</t>
  </si>
  <si>
    <t>A679078.494</t>
  </si>
  <si>
    <t>TODO</t>
  </si>
  <si>
    <t>A679078.495</t>
  </si>
  <si>
    <t>EIO-LAPD</t>
  </si>
  <si>
    <t>A679078.496</t>
  </si>
  <si>
    <t>JEAN MONNET ACTIVITIES</t>
  </si>
  <si>
    <t>A679078.498</t>
  </si>
  <si>
    <t>EUROGRADUATE</t>
  </si>
  <si>
    <t>A679078.499</t>
  </si>
  <si>
    <t>ENEMLOS</t>
  </si>
  <si>
    <t>A679078.500</t>
  </si>
  <si>
    <t>JEAN MONNET MODULE</t>
  </si>
  <si>
    <t>A679078.502</t>
  </si>
  <si>
    <t>BALKAN HOMICIDE STUDY</t>
  </si>
  <si>
    <t>A679078.503</t>
  </si>
  <si>
    <t>RCT-ESF</t>
  </si>
  <si>
    <t>A679078.507</t>
  </si>
  <si>
    <t>Personalized Medicine Inquiry-Based Education (PROMISE) Grant agreement: br. 2019-1-HR01-KA203-061010- </t>
  </si>
  <si>
    <t>A679078.508</t>
  </si>
  <si>
    <t>IRI projekt Povećanje razvoja novih proizvoda i usluga koji proizlaze iz aktivnosti istraživanja i razvoja</t>
  </si>
  <si>
    <t>A679078.509</t>
  </si>
  <si>
    <t>Utjecaj glikozilacije transferina na vezivanje željeza - GlyTransFer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</si>
  <si>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</si>
  <si>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</si>
  <si>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</si>
  <si>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</si>
  <si>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</si>
  <si>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</si>
  <si>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A679078.513</t>
  </si>
  <si>
    <t>OBZOR2020- Legumes in biodiversity based farming systems in Mediterranean basin</t>
  </si>
  <si>
    <t>A679078.514</t>
  </si>
  <si>
    <t>ERASMUS Transnational Quality Education for Organic Food Saftey- SAFE Orgfood</t>
  </si>
  <si>
    <t>A679078.515</t>
  </si>
  <si>
    <t>Napredni sustav motrenja agroekosustava u riziku od zaslanjivanja i onečišćenja</t>
  </si>
  <si>
    <t>A679078.516</t>
  </si>
  <si>
    <t>Agrobioraznolikost- osnova za prilagodbu i ublažavanje promjena klimatskih promjena u poljoprivredi</t>
  </si>
  <si>
    <t>A679078.517</t>
  </si>
  <si>
    <t>Dizajn naprednih biokompozita iz energetski održivih izvora- BIOKOMPOZITI</t>
  </si>
  <si>
    <t>A679078.518</t>
  </si>
  <si>
    <t>Proizvodnja, hrane, biokompozita i biogoriva iz žitarica u kružnom biogospodarstvu</t>
  </si>
  <si>
    <t>A679078.519</t>
  </si>
  <si>
    <t>ERASMUS Trainers for plant protection in organic farming- TOPPlant</t>
  </si>
  <si>
    <t>A679078.520</t>
  </si>
  <si>
    <t>Potencijal rizosfernog mikrobioma u prilagodbi poljoprivrede klimatskim promjenama - PERSPIRE</t>
  </si>
  <si>
    <t>A679078.521</t>
  </si>
  <si>
    <t>ERASMUS Learning Landscapes- LELA</t>
  </si>
  <si>
    <t>A679078.522</t>
  </si>
  <si>
    <t>ERASMUS Capacity building in higher education</t>
  </si>
  <si>
    <t>A679078.524</t>
  </si>
  <si>
    <t>A679078.525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</si>
  <si>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</si>
  <si>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</si>
  <si>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</si>
  <si>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</si>
  <si>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A679078.528</t>
  </si>
  <si>
    <t>ICSI Interreg</t>
  </si>
  <si>
    <t>A679078.531</t>
  </si>
  <si>
    <t>DRYvER- Securing biodiversity- HORIZON 2020</t>
  </si>
  <si>
    <t>A679078.532</t>
  </si>
  <si>
    <t>"OPSVIO- Ortho-positronium decay and the search for CP and CPT violation in leptonic secto"</t>
  </si>
  <si>
    <t>A679078.533</t>
  </si>
  <si>
    <t>Klima- 4HR- Klimatska ranjivost Hrvatske i mogućnosti prilagodbe urbanih i prirodnih okoliša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</si>
  <si>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</si>
  <si>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</si>
  <si>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</si>
  <si>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</si>
  <si>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</si>
  <si>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</si>
  <si>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A679078.537</t>
  </si>
  <si>
    <t>Klimatske promjene  - Agrobioraznolikost</t>
  </si>
  <si>
    <t>A679078.538</t>
  </si>
  <si>
    <t>Jednoslojni polarimetar gama zračenja za primjene u medicinskom oslikavanju i za temeljna istraživanja u fizici</t>
  </si>
  <si>
    <t>A679078.541</t>
  </si>
  <si>
    <t>HRZZ IP-2019-04 MORENEC</t>
  </si>
  <si>
    <t>A679078.546</t>
  </si>
  <si>
    <t>AGROEKO - Napredni sustav motrenja agroekosustava u riziku od zaslanjivanja i onečišćenja</t>
  </si>
  <si>
    <t>A679078.560</t>
  </si>
  <si>
    <t>PAPABUILD - Napredne akustičke i psihoakustičke dijagnostičke metode kao temelj inovativnog dizajna u građevinskoj akustici</t>
  </si>
  <si>
    <t>A679078.561</t>
  </si>
  <si>
    <t>SIMBLOLTE - Simbioza pametnih objekata u okruženjima Interneta stvari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</si>
  <si>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</si>
  <si>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</si>
  <si>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</si>
  <si>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</si>
  <si>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A679078.567</t>
  </si>
  <si>
    <t>NGLI - povećanje razvoja novih proizvoda i usluga koji proizilaze iz aktivnosti istraživanja i razvoja</t>
  </si>
  <si>
    <t>A679078.569</t>
  </si>
  <si>
    <t>PBM-PLIN - Iskorištenje manje kvalitetnih i nestalnih plinova za proizvodnju električne energije, uporabom Umjetne Inteligencije za miješanje plinova</t>
  </si>
  <si>
    <t>A679078.570</t>
  </si>
  <si>
    <t>PINIOT - Platforma za inteligentno i energetski efikasno upravljanje industrijskim Iot uređajima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</si>
  <si>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</si>
  <si>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</si>
  <si>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</si>
  <si>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</si>
  <si>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</si>
  <si>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</si>
  <si>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A679078.574</t>
  </si>
  <si>
    <t>Modeliranje procesa farmaceutskog sušenja raspršivanjem emulzije u laboratorijskom I pilotnom mjerilu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</si>
  <si>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</si>
  <si>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</si>
  <si>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</si>
  <si>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</si>
  <si>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</si>
  <si>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</si>
  <si>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</si>
  <si>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</si>
  <si>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</si>
  <si>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</si>
  <si>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A679078.584</t>
  </si>
  <si>
    <t>Learning how to Teach, Teaching how to Learn. Facing Challenges of Global Change in Higher Education Using Digital Tools for Reflective, Critical and Inclusive Learning on European Historical Landscapes – EDiToR</t>
  </si>
  <si>
    <t>A679078.586</t>
  </si>
  <si>
    <t>P-S-I Podrška Studenata u Integraciji marginaliziranih skupina na tržište rada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</si>
  <si>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</si>
  <si>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</si>
  <si>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</si>
  <si>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</si>
  <si>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A679078.589</t>
  </si>
  <si>
    <t>A679078.590</t>
  </si>
  <si>
    <t>Erasmus + Developing a new curriculum in Global Migration, Diaspora and Border Studies in East-Central Europe (GLocalEAst)”</t>
  </si>
  <si>
    <t>A679078.591</t>
  </si>
  <si>
    <t>Erasmus + „Introducing Intellectual Property Education for Lifelong Learning and the Knowledge Economy-IPEDU”</t>
  </si>
  <si>
    <t>A679078.592</t>
  </si>
  <si>
    <t>Encounters and Transformations in Iron Age Europe (ENTRANS</t>
  </si>
  <si>
    <t>A679078.593</t>
  </si>
  <si>
    <t>Rhetoric for Innovative Education  RHEFINE</t>
  </si>
  <si>
    <t>A679078.595</t>
  </si>
  <si>
    <t>Curated Multilingual Language Resources for CEF AT (CURLICAT)</t>
  </si>
  <si>
    <t>A679078.596</t>
  </si>
  <si>
    <t>HORIZON 2020: Children Online: Research and Evidence (CO:RE)</t>
  </si>
  <si>
    <t>A679078.597</t>
  </si>
  <si>
    <t>Third sector impact</t>
  </si>
  <si>
    <t>A679078.599</t>
  </si>
  <si>
    <t>SUSTINEO ESF</t>
  </si>
  <si>
    <t>A679078.600</t>
  </si>
  <si>
    <t>RE-DWELL</t>
  </si>
  <si>
    <t>A679078.608</t>
  </si>
  <si>
    <t>Istraživanje neuropatologije poremećaja iz spektra autizma i shizofrenije</t>
  </si>
  <si>
    <t>A679078.609</t>
  </si>
  <si>
    <t>EUROPEAN INFRASTRUCTURE FOR TRANSLATIONAL MEDICINE (EATRIS PLUS) - H2020</t>
  </si>
  <si>
    <t>A679078.610</t>
  </si>
  <si>
    <t>ERASMUS + MEĐUNARODNA SURADNJA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</si>
  <si>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</si>
  <si>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</si>
  <si>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</si>
  <si>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</si>
  <si>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</si>
  <si>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</si>
  <si>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</si>
  <si>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</si>
  <si>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</si>
  <si>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</si>
  <si>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</si>
  <si>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</si>
  <si>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</si>
  <si>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</si>
  <si>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</si>
  <si>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</si>
  <si>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A679078.619</t>
  </si>
  <si>
    <t>FORMALS-HRZZ UIP-2017-05-2019</t>
  </si>
  <si>
    <t>A679078.620</t>
  </si>
  <si>
    <t>Digitalna.hr</t>
  </si>
  <si>
    <t>A679078.621</t>
  </si>
  <si>
    <t>e-DESK - Digitalne i poduzetničke vještine europskih učitelja u svijetu COVID-19</t>
  </si>
  <si>
    <t>A679078.622</t>
  </si>
  <si>
    <t>Erasmus+ Oralno potencijalno maligni poremećaji: izobrazba zdravstvenih djelatnika</t>
  </si>
  <si>
    <t>A679078.623</t>
  </si>
  <si>
    <t>WAI4PwD - Web pristupačnost i ostale inicijative za osobe s invaliditetom u EU tijekom pandemije</t>
  </si>
  <si>
    <t>A679078.625</t>
  </si>
  <si>
    <t>HYSTORIES- podzemno skladištenja vodika u Europi</t>
  </si>
  <si>
    <t>A679078.626</t>
  </si>
  <si>
    <t>RiskMan - Jačanje obrazovnih kapaciteta za upravljanje rizicima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</si>
  <si>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</si>
  <si>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</si>
  <si>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</si>
  <si>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</si>
  <si>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A679078.629</t>
  </si>
  <si>
    <t>A679078.630</t>
  </si>
  <si>
    <t>A679078.631</t>
  </si>
  <si>
    <t>Interreg D-Care Labs</t>
  </si>
  <si>
    <t>A679078.632</t>
  </si>
  <si>
    <t>ERASMUS+ KA2 Krajolici za učenje</t>
  </si>
  <si>
    <t>A679078.633</t>
  </si>
  <si>
    <t>EULAW - projekti obuke pravosudnih stručnjaka</t>
  </si>
  <si>
    <t>A679078.634</t>
  </si>
  <si>
    <t>Erasmus+ MELLE - Modernizacija pravnog obrazovanja u europskom pravu</t>
  </si>
  <si>
    <t>A679078.635</t>
  </si>
  <si>
    <t>ERASMUS Jačanje kapaciteta u visokom obrazovanju</t>
  </si>
  <si>
    <t>A679078.636</t>
  </si>
  <si>
    <t>CENTRINNO - rješenja za regeneraciju industrijskih povijesnih mjesta</t>
  </si>
  <si>
    <t>A679078.637</t>
  </si>
  <si>
    <t>A679078.638</t>
  </si>
  <si>
    <t>Platforma 50+ za unaprjeđivanje uvjeta rada</t>
  </si>
  <si>
    <t>A679078.639</t>
  </si>
  <si>
    <t>Obzor 2020 MEDICTA - Razvoj sustava za diktiranje medicinskih nalaza na bosanskom / hrvatskom / srpskom jeziku uključujući latinske izraze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</si>
  <si>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</si>
  <si>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</si>
  <si>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</si>
  <si>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</si>
  <si>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</si>
  <si>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</si>
  <si>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</si>
  <si>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</si>
  <si>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A679078.644</t>
  </si>
  <si>
    <t>Zaštita cjelovitosti konstrukcija u energetici i transportu</t>
  </si>
  <si>
    <t>A679078.645</t>
  </si>
  <si>
    <t>AgroEko - Napredna i prediktivna poljoprivreda za otpornost klimatskim promjenama</t>
  </si>
  <si>
    <t>A679078.646</t>
  </si>
  <si>
    <t>Izazovi za društvene i humanističke znanosti: novi studiji i sustav kvalitete Filozofskog fakulteta u Zagrebu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</si>
  <si>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</si>
  <si>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</si>
  <si>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</si>
  <si>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</si>
  <si>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</si>
  <si>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</si>
  <si>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</si>
  <si>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</si>
  <si>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</si>
  <si>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</si>
  <si>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</si>
  <si>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</si>
  <si>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ERASMUS+projekt Sky Easy</t>
  </si>
  <si>
    <t>ERASMUS+projekt Fit Old</t>
  </si>
  <si>
    <t>A679078.655</t>
  </si>
  <si>
    <t>CARNET21 -Ostali -EEA and Norw. Gran.Fund Reg.</t>
  </si>
  <si>
    <t>A679078.656</t>
  </si>
  <si>
    <t>IGT</t>
  </si>
  <si>
    <t>A679078.657</t>
  </si>
  <si>
    <t>ERASMUS + KA2 - Aktivno učenje kroz poboljšanu interaktivnost</t>
  </si>
  <si>
    <t>A679078.658</t>
  </si>
  <si>
    <t>IRI-II SOVA - Sustav za vizualno prepoznavanje proizvoda na policama</t>
  </si>
  <si>
    <t>A679078.659</t>
  </si>
  <si>
    <t>IRI-II Besposadni brod - Razvoj autonomnog besposadnog višenamjenskog broda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</si>
  <si>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</si>
  <si>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</si>
  <si>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</si>
  <si>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</si>
  <si>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A679078.662</t>
  </si>
  <si>
    <t>UN4DRR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</si>
  <si>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</si>
  <si>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</si>
  <si>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</si>
  <si>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</si>
  <si>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</si>
  <si>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</si>
  <si>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</si>
  <si>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</si>
  <si>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A679078.667</t>
  </si>
  <si>
    <t>IRI-II PBM-PLIN - Iskorištenje manje kvalitetnih i nestalnih plinova za proizvodnju električne energije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</si>
  <si>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</si>
  <si>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</si>
  <si>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</si>
  <si>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</si>
  <si>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A679078.670</t>
  </si>
  <si>
    <t>IRI-II 4VENT - Razvoj niza četverousisnih ventilatora za industrijska postrojenja</t>
  </si>
  <si>
    <t>A679078.671</t>
  </si>
  <si>
    <t>IRI-II CIP4SI - Razvoj digitalne platforme za izgradnju sustava zaštite kritičnih infrastruktura u pametnim industrijama</t>
  </si>
  <si>
    <t>A679078.672</t>
  </si>
  <si>
    <t>DERIN ERASMUS + Razvoj digitalne platforme za izgradnju sustava zaštite kritičnih infrastruktura u pametnim industrijama</t>
  </si>
  <si>
    <t>A679078.673</t>
  </si>
  <si>
    <t>NAUTICA CBC prekogranična nautička turistička ponuda</t>
  </si>
  <si>
    <t>A679078.674</t>
  </si>
  <si>
    <t>ELP Transport stručnjak za lokalni transport</t>
  </si>
  <si>
    <t>A679078.675</t>
  </si>
  <si>
    <t>INTERREG OJP4DANUBE</t>
  </si>
  <si>
    <t>A679078.676</t>
  </si>
  <si>
    <t>ReNewEurope - Ponovno otkrivanje „Nove Europe“ - Ljetna škola na kotačima za prekograničnu povijest i politiku Balkana / Srednje i Istočne Europe</t>
  </si>
  <si>
    <t>A679078.677</t>
  </si>
  <si>
    <t>PRISMI PLUS - Prijenos alata za integraciju OIE na pametnim mediteranskim otocima i ruralnim područjima</t>
  </si>
  <si>
    <t>A679078.678</t>
  </si>
  <si>
    <t>LSP Internetski tečaj za stručno usavršavanje nastavnika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</si>
  <si>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</si>
  <si>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</si>
  <si>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</si>
  <si>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</si>
  <si>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</si>
  <si>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</si>
  <si>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A679078.682</t>
  </si>
  <si>
    <t>SEAS 4.0 ODRŽIVI BROD I DOSTAVA 4.0</t>
  </si>
  <si>
    <t>A679078.683</t>
  </si>
  <si>
    <t>CResDET - Digitalno obrazovanje i osposobljavanje otporno na krize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</si>
  <si>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</si>
  <si>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</si>
  <si>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A679078.685</t>
  </si>
  <si>
    <t>CESSDA ERIC Agenda 21-22</t>
  </si>
  <si>
    <t>A679078.686</t>
  </si>
  <si>
    <t>SHIPMARTECH - Nadogradnja i usklađivanje magistarskih tečajeva pomorskog inženjerstva</t>
  </si>
  <si>
    <t>A679078.687</t>
  </si>
  <si>
    <t>STAND - Jačanje autonomije sveučilišta i povećanje odgovornosti i transparentnosti sveučilišta Zapadnog Balkana</t>
  </si>
  <si>
    <t>A679078.688</t>
  </si>
  <si>
    <t>Mreža infrastrukture za istraživanje i razvoj kohortne zajednice za pristup diljem Europe</t>
  </si>
  <si>
    <t>A679078.689</t>
  </si>
  <si>
    <t>OLGA - OLympics  Green Airport</t>
  </si>
  <si>
    <t>A679078.690</t>
  </si>
  <si>
    <t>Uvođenje obrazovanja o intelektualnom vlasništvu za cjeloživotno učenje i ekonomiju znanja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</si>
  <si>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</si>
  <si>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</si>
  <si>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</si>
  <si>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</si>
  <si>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</si>
  <si>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</si>
  <si>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</si>
  <si>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A679078.695</t>
  </si>
  <si>
    <t>A679078.696</t>
  </si>
  <si>
    <t>IRI Comparative genomics of non-model invertebrates (IGNITE)</t>
  </si>
  <si>
    <t>A679078.697</t>
  </si>
  <si>
    <t>STRIP Jačanje kapaciteta za istraživanje, razvoj i inovacije</t>
  </si>
  <si>
    <t>A679078.698</t>
  </si>
  <si>
    <t>A679078.699</t>
  </si>
  <si>
    <t>A679078.700</t>
  </si>
  <si>
    <t>Formiranje C-C veze pomoću vrhunskih enzima</t>
  </si>
  <si>
    <t>A679078.701</t>
  </si>
  <si>
    <t>RADICALZ — H2020-FNR-2020</t>
  </si>
  <si>
    <t>A679081.001</t>
  </si>
  <si>
    <t>INTERREG Projekt LOW-CARB Integrirano planiranje pokretljivosti s niskom razinom ugljika za urbana područja</t>
  </si>
  <si>
    <t>A679081.002</t>
  </si>
  <si>
    <t>ERASMUS+ JEAN MONNET Razvoj i implementacija CQAF modela osiguranja kvalitete na visokoškolskim ustanovama</t>
  </si>
  <si>
    <t>A679081.003</t>
  </si>
  <si>
    <t>ERASMUS+ JEAN MONNET MODULES - Interdisciplinarni pristup političkim i pravnim dimenzijama regionalnih integracija</t>
  </si>
  <si>
    <t>A679081.004</t>
  </si>
  <si>
    <t>ERASMUS+  Poticanje mobilnosti studenata i znanstveno-nastavnog osoblja</t>
  </si>
  <si>
    <t>A679081.005</t>
  </si>
  <si>
    <t>INTERREG e-MOB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</si>
  <si>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</si>
  <si>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</si>
  <si>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</si>
  <si>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</si>
  <si>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</si>
  <si>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A679081.011</t>
  </si>
  <si>
    <t>Istraživanje i razvoj inovativnih i pametnih tehnologija za gospodarenje otpadom, prijevoz i logistiku</t>
  </si>
  <si>
    <t>A679081.012</t>
  </si>
  <si>
    <t>Integracija (bivših) Jugoslavena u Švicarskoj</t>
  </si>
  <si>
    <t>A679081.013</t>
  </si>
  <si>
    <t>Unapređenje rada Medicinske škole AK Zadar- regionalnog centra kompetentnosti u sektoru zdravstva</t>
  </si>
  <si>
    <t>A679115.001</t>
  </si>
  <si>
    <t>INTERREG IPA CBC Hrvatska - Srbija, Obnovljivi izvori energije za pametne, održive, zdravstvene centre, visokoobrazovne ustanove i druge javne zgrade</t>
  </si>
  <si>
    <t>A679115.002</t>
  </si>
  <si>
    <t>Centar za istraživanje, razvoj i inovacije - CIRI</t>
  </si>
  <si>
    <t>A679115.004</t>
  </si>
  <si>
    <t>Pametna naljepnica za mjerenje i praćenje uvjeta skladištenja i transporta proizvoda</t>
  </si>
  <si>
    <t>A679115.005</t>
  </si>
  <si>
    <t>AVACS, Prilagodba povrtnih kultura novim agrometeorološkim uvjetima u Slavoniji</t>
  </si>
  <si>
    <t>A679115.006</t>
  </si>
  <si>
    <t>Dobra klima za turizam</t>
  </si>
  <si>
    <t>A679115.008</t>
  </si>
  <si>
    <t>EXPERIO-razvoj strojeva za kvalitetu i paletizaciju u automobilskoj industriji</t>
  </si>
  <si>
    <t>A679115.009</t>
  </si>
  <si>
    <t>ERASMUS</t>
  </si>
  <si>
    <t>A679115.010</t>
  </si>
  <si>
    <t>RESIN-razvoj sustava za ispitivanje višefaznih strujanja i izgaranja</t>
  </si>
  <si>
    <t>K679084.001</t>
  </si>
  <si>
    <t>Vrhunska istraživanja Znanstvenih centara izvrsnosti</t>
  </si>
  <si>
    <t>K679084.002</t>
  </si>
  <si>
    <t>K679084.003</t>
  </si>
  <si>
    <t>Razvoj i jačanje sinergija s horizontalnim aktivnostima programa OBZOR 2020:  Twinning i ERA chairs</t>
  </si>
  <si>
    <t>K679084.004</t>
  </si>
  <si>
    <t>Poziv Modernizacija, unaprjeđenje i proširenje infrastrukture studentskog smještaja za studente u nepovoljnom položaju</t>
  </si>
  <si>
    <t>K679084.005</t>
  </si>
  <si>
    <t>K679084.006</t>
  </si>
  <si>
    <t>K679084.007</t>
  </si>
  <si>
    <t>K679106.001</t>
  </si>
  <si>
    <t>K679106.002</t>
  </si>
  <si>
    <t>K679106.003</t>
  </si>
  <si>
    <t>K679106.004</t>
  </si>
  <si>
    <t>SHARE Istraživanje o zdravlju, starenju i umirovljenju u Europi</t>
  </si>
  <si>
    <t>K679106.005</t>
  </si>
  <si>
    <t>Uspostava integralnog sustava za upravljanje službenom dokumentacijom Republike Hrvatske</t>
  </si>
  <si>
    <t>K679111.001</t>
  </si>
  <si>
    <t>Druga prilika za stjecanje kvalifikacije u visokom obrazovanju</t>
  </si>
  <si>
    <t>A622125.001</t>
  </si>
  <si>
    <t>H2020, Twinning: SmartEIZ</t>
  </si>
  <si>
    <t>A622125.002</t>
  </si>
  <si>
    <t>A622125.003</t>
  </si>
  <si>
    <t>H2020 EuroFusion Istraživnja energije fuzije</t>
  </si>
  <si>
    <t>A622125.004</t>
  </si>
  <si>
    <t>H2020 PerformFISH Prevladavanje bioloških, tehničkih i operativnih pitanja u akvakulturi</t>
  </si>
  <si>
    <t>A622125.005</t>
  </si>
  <si>
    <t>H2020 NewSpindlForce Temeljna istraživanja dinamike diobenog vretena u cilju razumijevanja mehanizama stanične diobe</t>
  </si>
  <si>
    <t>A622125.006</t>
  </si>
  <si>
    <t>H2020 Concert Povezivanje istraživanja zaštite od zračenja na EU razini</t>
  </si>
  <si>
    <t>A622125.007</t>
  </si>
  <si>
    <t>H2020 PaRaDe SEC Unaprjeđenje istraživačke infrastrukture, posebice detektora čestica i zračenja za istraživanja u nuklearnoj i čestičnoj fizici</t>
  </si>
  <si>
    <t>A622125.009</t>
  </si>
  <si>
    <t>H2020 OpenAIRE-Advance Osiguravanje otvorenog pristupa i otvorene znanosti na razini EU</t>
  </si>
  <si>
    <t>A622125.010</t>
  </si>
  <si>
    <t>H2020 ESSnuSB Izrada studije o mogućnosti nadogradnje ESS akceleratora</t>
  </si>
  <si>
    <t>A622125.011</t>
  </si>
  <si>
    <t>H2020 EOSC-hub Katalog usluga, softvera i podataka iz EGI Federacije, EUDAT CDI, INDIGO - DataCloud i glavnih istraživačkih e-Infrastruktura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</si>
  <si>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</si>
  <si>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</si>
  <si>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</si>
  <si>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</si>
  <si>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A622125.016</t>
  </si>
  <si>
    <t>INTERREG CBC Hrvatska-BiH-Crna Gora SafEath Napredno upravljanje rizikom klizišta u regiji</t>
  </si>
  <si>
    <t>A622125.017</t>
  </si>
  <si>
    <t>INTERREG Danube SIMONA Informacijski sustav koji podupire transnacionalnu suradnju za zajedničko vodno gospodarstvo u slivu rijeke Dunav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</si>
  <si>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</si>
  <si>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</si>
  <si>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</si>
  <si>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</si>
  <si>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</si>
  <si>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</si>
  <si>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A622125.021</t>
  </si>
  <si>
    <t>CASE (Poland) - Razvoj i primjena inovativnih alata usmjerenih na ograničavanje fenomena neregistriranog rada u ustanovama suodgovornim za minimiziranje sive ekonomije na trzištu rada</t>
  </si>
  <si>
    <t>A622125.022</t>
  </si>
  <si>
    <t>OBZOR2020  HBM4EU Inicijativa Europskog humanog biomonitoringa izrada baze kohorti novorođenčeta u Europi</t>
  </si>
  <si>
    <t>A622125.026</t>
  </si>
  <si>
    <t>VOLPOWER Volontiranje kao doprinos interakciji i osnaživanju mladih</t>
  </si>
  <si>
    <t>A622125.028</t>
  </si>
  <si>
    <t>INTERREG Središnja Europa KEEP ON-Učinkovita politika za trajne i samoodržive projekte u sektoru kulturne baštine</t>
  </si>
  <si>
    <t>A622125.030</t>
  </si>
  <si>
    <t>Modeli integriranog turizma na Mediteranu plus</t>
  </si>
  <si>
    <t>A622125.031</t>
  </si>
  <si>
    <t>ERASMUS + SeasonREADY Obrazovanje za sezonske turističke djelatnike</t>
  </si>
  <si>
    <t>A622125.033</t>
  </si>
  <si>
    <t>ERASMUS+ SPECHALE  SPEcialisti za kulturnu baštinu i atraktivno životno okruženje</t>
  </si>
  <si>
    <t>A622125.034</t>
  </si>
  <si>
    <t>H2020 CHIEF Inovativni pristup kulturne pismenosti mladih Europljana</t>
  </si>
  <si>
    <t>A622125.038</t>
  </si>
  <si>
    <t>BARMIG Pregovaranje uvjeta rada i socijalnih prava radnika migranata u državama srednje I istočne Europe</t>
  </si>
  <si>
    <t>A622125.039</t>
  </si>
  <si>
    <t>Širenje znanja o europskim radničkim vijećima u cilju jačanja transnacionalnih radničkih  prava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</si>
  <si>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</si>
  <si>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</si>
  <si>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</si>
  <si>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</si>
  <si>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</si>
  <si>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</si>
  <si>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</si>
  <si>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</si>
  <si>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A622125.044</t>
  </si>
  <si>
    <t>INTERREG DUNAV REFOSuS Otporne poplavne šume kao ekološki koridori rezervata biosfere Mura-Drava-Dunav</t>
  </si>
  <si>
    <t>A622125.045</t>
  </si>
  <si>
    <t>LIFE SySTEMIC Održivo upravljanje šuma u  uvjetima klimatskih promjena</t>
  </si>
  <si>
    <t>A622125.047</t>
  </si>
  <si>
    <t>Horizon2020  M4F Modeliranje za fuzijske i fizijske materijale</t>
  </si>
  <si>
    <t>A622125.049</t>
  </si>
  <si>
    <t>Horizon2020: MedAID  Integrirani razvoj mediteranske akvakulture</t>
  </si>
  <si>
    <t>A622125.050</t>
  </si>
  <si>
    <t>INTERREG IT-HR  AdriAquaNet - projekt jačanja i održivosti akvakulture u Jadranskom moru</t>
  </si>
  <si>
    <t>A622125.051</t>
  </si>
  <si>
    <t>INTERREG IT-HR ASTERIS</t>
  </si>
  <si>
    <t>A622125.052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</si>
  <si>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</si>
  <si>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</si>
  <si>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</si>
  <si>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</si>
  <si>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</si>
  <si>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</si>
  <si>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</si>
  <si>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A622125.056</t>
  </si>
  <si>
    <t>INTERREG IT-HR CBC SLIDES  Pametne strategije za održivi turizam u životno kulturnim odrednicama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</si>
  <si>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</si>
  <si>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</si>
  <si>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</si>
  <si>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</si>
  <si>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</si>
  <si>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</si>
  <si>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A622125.060</t>
  </si>
  <si>
    <t>H2020 DARE-Dijalog o radikalizaciji i jednakosti</t>
  </si>
  <si>
    <t>A622125.061</t>
  </si>
  <si>
    <t>INNO-WISE: Tehnologije, kompetencije i društvene inovacije za radnu integraciju društvena poduzeća</t>
  </si>
  <si>
    <t>A622125.062</t>
  </si>
  <si>
    <t>ERASMUS+ Poboljšanje vještina strukovnog obrazovanja i osposobljavanja</t>
  </si>
  <si>
    <t>A622125.063</t>
  </si>
  <si>
    <t>COST- Integriranje neandertalnog nasljeđa: od prošlosti do danas - iNEAL</t>
  </si>
  <si>
    <t>A622125.064</t>
  </si>
  <si>
    <t>INTERREG - Dunavski limes</t>
  </si>
  <si>
    <t>A622125.065</t>
  </si>
  <si>
    <t>RESPONSe - INTERREG ITALIJA-HRVATSKA</t>
  </si>
  <si>
    <t>A622125.066</t>
  </si>
  <si>
    <t>Interreg- Srednja Europa project CE1412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</si>
  <si>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</si>
  <si>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</si>
  <si>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</si>
  <si>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</si>
  <si>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A622125.070</t>
  </si>
  <si>
    <t>DESTIMED-Ekoturizam u mediteranskim destinacijama-od praćenja i planiranja do promicanja i podrške</t>
  </si>
  <si>
    <t>A622125.071</t>
  </si>
  <si>
    <t>INTERREG Središnja Europa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</si>
  <si>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</si>
  <si>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</si>
  <si>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</si>
  <si>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</si>
  <si>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</si>
  <si>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</si>
  <si>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</si>
  <si>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</si>
  <si>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</si>
  <si>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</si>
  <si>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</si>
  <si>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</si>
  <si>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</si>
  <si>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</si>
  <si>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A622125.079</t>
  </si>
  <si>
    <t>Erasmus + „BESPLATNO DODAJ - Prevencija ovisnosti o pušenju, alkoholu i internetu među djecom i adolescentima: pristup obiteljskoj orijentaciji za odrasle učenike i odgajatelje</t>
  </si>
  <si>
    <t>A622125.080</t>
  </si>
  <si>
    <t>H2020-WIDESPREAD-Twinning kordinacijska akcija u području otvorenih podataka</t>
  </si>
  <si>
    <t>A622125.081</t>
  </si>
  <si>
    <t>ERASMUS+, IDEA</t>
  </si>
  <si>
    <t>A622125.082</t>
  </si>
  <si>
    <t>H2020 2018-2021 GeoTwinn</t>
  </si>
  <si>
    <t>A622125.083</t>
  </si>
  <si>
    <t>INTERREG boDEREC CE</t>
  </si>
  <si>
    <t>A622125.084</t>
  </si>
  <si>
    <t>INTERREG RESTAURA - Revitalising Historic Buildings through Public-Private Partnership Schemes</t>
  </si>
  <si>
    <t>A622125.087</t>
  </si>
  <si>
    <t>Project 'RAMBOLL '</t>
  </si>
  <si>
    <t>A622125.090</t>
  </si>
  <si>
    <t>H2020 ECDP-European Cohort Development Project</t>
  </si>
  <si>
    <t>A622125.091</t>
  </si>
  <si>
    <t>ERASMUS + SKILLS BORD 2017+1-ELO1-KA202-036296</t>
  </si>
  <si>
    <t>A622125.093</t>
  </si>
  <si>
    <t>MEMBRANESACT, Biološke membrane na djelu: Poveznica proteinskih međudjelovanja, stvaranja makrostruktura i aktivnog transporta</t>
  </si>
  <si>
    <t>A622125.094</t>
  </si>
  <si>
    <t>MARILIA-Mara-Based Industrial Low-Cost Identification Assays</t>
  </si>
  <si>
    <t>A622125.095</t>
  </si>
  <si>
    <t>"STREPUNLOCKED, Otključavanje potencijala za proizvodnju antibiotika u tlubakterija Streptomyces coelicolor"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</si>
  <si>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</si>
  <si>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</si>
  <si>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</si>
  <si>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</si>
  <si>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A622125.098</t>
  </si>
  <si>
    <t>Enhancement of the Innovation Potential in SEE through new Molecular Solutions in Research and Development - InnoMol</t>
  </si>
  <si>
    <t>A622125.103</t>
  </si>
  <si>
    <t>EU-3D CPAM</t>
  </si>
  <si>
    <t>A622125.105</t>
  </si>
  <si>
    <t>A622125.106</t>
  </si>
  <si>
    <t>EU -HORIZON-RECORD IT</t>
  </si>
  <si>
    <t>A622125.107</t>
  </si>
  <si>
    <t>MAESTRA, Učenje iz masivnih, nepotpuno zabilježenih i strukturiranih podataka</t>
  </si>
  <si>
    <t>A622125.110</t>
  </si>
  <si>
    <t>H2020 PROMISE-PROMoting youth Involvement and Social Engagement</t>
  </si>
  <si>
    <t>A622125.111</t>
  </si>
  <si>
    <t>A622125.112</t>
  </si>
  <si>
    <t>H2020, EGI ENGAGE -Engaging the EGI Community towards an Open Science Commons</t>
  </si>
  <si>
    <t>A622125.114</t>
  </si>
  <si>
    <t>Molecular Quantum Simulations – MOQS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</si>
  <si>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</si>
  <si>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</si>
  <si>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</si>
  <si>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</si>
  <si>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A622125.118</t>
  </si>
  <si>
    <t>GeoTwinn H2020 2018-2021</t>
  </si>
  <si>
    <t>A622125.119</t>
  </si>
  <si>
    <t>boDEREC CE Interreg</t>
  </si>
  <si>
    <t>A622125.120</t>
  </si>
  <si>
    <t>Geotehnički fakultet Varaždin - Ministarstvo zaštite okoliša i energetike iz EU sredstva Europskog fonda za reg razvoj</t>
  </si>
  <si>
    <t>A622125.121</t>
  </si>
  <si>
    <t>EU-SMART-NANO</t>
  </si>
  <si>
    <t>A622125.122</t>
  </si>
  <si>
    <t>Bioraznolikost i molekularno oplemenjivanje bilja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</si>
  <si>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</si>
  <si>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</si>
  <si>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</si>
  <si>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</si>
  <si>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</si>
  <si>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</si>
  <si>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A622125.126</t>
  </si>
  <si>
    <t>Geothermal-DHC COST</t>
  </si>
  <si>
    <t>A622125.127</t>
  </si>
  <si>
    <t>Emodnet-Geol 5</t>
  </si>
  <si>
    <t>A622125.128</t>
  </si>
  <si>
    <t>EIT RM-Li3T</t>
  </si>
  <si>
    <t>A622125.129</t>
  </si>
  <si>
    <t>EIT RM-RIS REACT</t>
  </si>
  <si>
    <t>A622125.130</t>
  </si>
  <si>
    <t>UNLOCK-CAVE</t>
  </si>
  <si>
    <t>A622125.131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</si>
  <si>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</si>
  <si>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</si>
  <si>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</si>
  <si>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</si>
  <si>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</si>
  <si>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</si>
  <si>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</si>
  <si>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</si>
  <si>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</si>
  <si>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</si>
  <si>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</si>
  <si>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</si>
  <si>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</si>
  <si>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</si>
  <si>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</si>
  <si>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A622125.140</t>
  </si>
  <si>
    <t>ConsumeLess Plus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</si>
  <si>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</si>
  <si>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</si>
  <si>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</si>
  <si>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</si>
  <si>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</si>
  <si>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</si>
  <si>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</si>
  <si>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</si>
  <si>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</si>
  <si>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</si>
  <si>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</si>
  <si>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</si>
  <si>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</si>
  <si>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</si>
  <si>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</si>
  <si>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</si>
  <si>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</si>
  <si>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</si>
  <si>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</si>
  <si>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</si>
  <si>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</si>
  <si>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</si>
  <si>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</si>
  <si>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</si>
  <si>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</si>
  <si>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</si>
  <si>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</si>
  <si>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</si>
  <si>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</si>
  <si>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</si>
  <si>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</si>
  <si>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</si>
  <si>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K622128.004</t>
  </si>
  <si>
    <t>K622128.007</t>
  </si>
  <si>
    <t>Strateški projekt "Centar za napredne laserske tehnike"</t>
  </si>
  <si>
    <t>K622128.008</t>
  </si>
  <si>
    <t>K622128.009</t>
  </si>
  <si>
    <t>K622128.010</t>
  </si>
  <si>
    <t>K628080.001</t>
  </si>
  <si>
    <t>II. faza programa "e-Škole: Cjelovita informatizacija procesa poslovanja škola i nastavnih procesa u svrhu stvaranja ditigalno zrelih škola za 21. stoljeće"</t>
  </si>
  <si>
    <t>K628080.003</t>
  </si>
  <si>
    <t>Program unaprjeđenja primjene digitalne tehnologije u obrazovnom sustavu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</si>
  <si>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</si>
  <si>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</si>
  <si>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</si>
  <si>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K628081.003</t>
  </si>
  <si>
    <t>K628087.001</t>
  </si>
  <si>
    <t>Znanstveno i tehnologijsko predviđanje - sustav CroRIS</t>
  </si>
  <si>
    <t>K628087.002</t>
  </si>
  <si>
    <t>Hrvatski znanstveni i obrazovni oblak (HR ZOO)</t>
  </si>
  <si>
    <t>K848038.001</t>
  </si>
  <si>
    <t>Modernizacija sustava stručnog usavršavanja nastavnika strukovnih predmeta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</si>
  <si>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</si>
  <si>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</si>
  <si>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</si>
  <si>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</si>
  <si>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</si>
  <si>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</si>
  <si>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</si>
  <si>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</si>
  <si>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</si>
  <si>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</si>
  <si>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K733069.001</t>
  </si>
  <si>
    <t>K733069.002</t>
  </si>
  <si>
    <t>I. OPĆI DIO</t>
  </si>
  <si>
    <t xml:space="preserve">A. RAČUN PRIHODA I RASHODA </t>
  </si>
  <si>
    <t>A1. PRIHODI POSLOVANJA I PRIHODI OD PRODAJE NEFINANCIJSKE IMOVINE</t>
  </si>
  <si>
    <t>Stavka</t>
  </si>
  <si>
    <t>Naziv stavke</t>
  </si>
  <si>
    <t xml:space="preserve">Ukupno 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</si>
  <si>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</si>
  <si>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</si>
  <si>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</si>
  <si>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</si>
  <si>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</si>
  <si>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</si>
  <si>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</si>
  <si>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 xml:space="preserve">IZVOR 552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</si>
  <si>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</si>
  <si>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</si>
  <si>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</si>
  <si>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>573 Instrumenti Europskog gospodarskog prostora i ostali instrumenti</t>
  </si>
  <si>
    <t>575 Fondovi za unutarnje poslove</t>
  </si>
  <si>
    <t>576 Fond solidarnosti Europske unije</t>
  </si>
  <si>
    <t>IZVOR 581                Mehanizam za oporavak i otpornost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</si>
  <si>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</si>
  <si>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</si>
  <si>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</si>
  <si>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61</t>
  </si>
  <si>
    <t>Prihodi od poreza</t>
  </si>
  <si>
    <t>63</t>
  </si>
  <si>
    <t>Pomoći iz inozemstva (darovnice)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</si>
  <si>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</si>
  <si>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</si>
  <si>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</si>
  <si>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</si>
  <si>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</si>
  <si>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</si>
  <si>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</si>
  <si>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</si>
  <si>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</si>
  <si>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</si>
  <si>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6</t>
  </si>
  <si>
    <t>UKUPNO:</t>
  </si>
  <si>
    <t>71</t>
  </si>
  <si>
    <t>Prihodi od prodaje neproizvedene dugotrajne imovine</t>
  </si>
  <si>
    <t>72</t>
  </si>
  <si>
    <t>Prihodi od prodaje proizvedene dugotrajne imovine</t>
  </si>
  <si>
    <t>7</t>
  </si>
  <si>
    <t>A. 2. RASHODI POSLOVANJA I RASHODI ZA NABAVU NEFINANCIJSKE IMOVINE</t>
  </si>
  <si>
    <t>Šifra</t>
  </si>
  <si>
    <t>Naziv</t>
  </si>
  <si>
    <t>PRIJEDLOG PLANA 
UKUPNO za 2023.</t>
  </si>
  <si>
    <t xml:space="preserve">IZVOR 11              Opći prihodi i primici </t>
  </si>
  <si>
    <t>IZVOR 41  Prihodi od igara na sreću</t>
  </si>
  <si>
    <t>IZVOR 575 Fondovi za unutarnje poslove</t>
  </si>
  <si>
    <t>IZVOR 576 Fond solidarnosti Europske unije</t>
  </si>
  <si>
    <t>IZVOR 71                          Prihodi od nefin. imovine i nadoknade šteta s osnova osig.</t>
  </si>
  <si>
    <t>IZVOR 81                Namjenski primici od zaduživanja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</si>
  <si>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</si>
  <si>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</si>
  <si>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</si>
  <si>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</si>
  <si>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</si>
  <si>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</si>
  <si>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</si>
  <si>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</si>
  <si>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</si>
  <si>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</si>
  <si>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</si>
  <si>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</si>
  <si>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</si>
  <si>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</si>
  <si>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Plemeniti metali i ostale pohranjene vrijednosti</t>
  </si>
  <si>
    <t>Rashodi za nabavu proizvedene kratkotrajne imovine</t>
  </si>
  <si>
    <t>Rashodi za dodatna ulaganja na nefinancijskoj imovini</t>
  </si>
  <si>
    <t>PROJEKCIJA PLANA 
UKUPNO za 2024.</t>
  </si>
  <si>
    <t>PROJEKCIJA PLANA 
UKUPNO za 2025.</t>
  </si>
  <si>
    <t>A.3. RASHODI PREMA IZVORIMA FINANCIRANJA</t>
  </si>
  <si>
    <t>BROJČANA OZNAKA</t>
  </si>
  <si>
    <t>NAZIV IZVORA FINANCIRANJA</t>
  </si>
  <si>
    <t>UKUPNI RASHODI</t>
  </si>
  <si>
    <t>OPĆI PRIHODI I PRIMICI</t>
  </si>
  <si>
    <t xml:space="preserve">Opći prihodi i primici </t>
  </si>
  <si>
    <t>VLASTITI PRIHODI</t>
  </si>
  <si>
    <t xml:space="preserve">Vlastiti prihodi </t>
  </si>
  <si>
    <t>PRIHODI ZA POSEBNE NAMJENE</t>
  </si>
  <si>
    <t xml:space="preserve"> Prihodi za posebne namjene </t>
  </si>
  <si>
    <t>POMOĆI</t>
  </si>
  <si>
    <t xml:space="preserve"> Pomoći EU</t>
  </si>
  <si>
    <t xml:space="preserve">Ostale pomoći </t>
  </si>
  <si>
    <t xml:space="preserve"> Ostale pomoći </t>
  </si>
  <si>
    <t>Ostale refundacije iz sredstava EU</t>
  </si>
  <si>
    <t>DONACIJE</t>
  </si>
  <si>
    <t xml:space="preserve"> Inozemne donacije </t>
  </si>
  <si>
    <t>PRIHODI OD PRODAJE ILI ZAMJENE NEFINANCIJSKE IMOVINE I NAKNADE S NASLOVA OSIGURANJA</t>
  </si>
  <si>
    <t>Prihodi od nefin. imovine i nadoknade šteta s osnova osig.</t>
  </si>
  <si>
    <t>NAMJENSKI PRIMICI</t>
  </si>
  <si>
    <t>A. 4. RASHODI PREMA FUNKCIJSKOJ KLASIFIKACIJI</t>
  </si>
  <si>
    <t>NAZIV FUNKCIJSKE KLASIFIKACIJE</t>
  </si>
  <si>
    <t>Opće javne usluge</t>
  </si>
  <si>
    <t>Izvršna i zakonodavna tijela, financijski i fiskalni poslovi, vanjski poslovi</t>
  </si>
  <si>
    <t>Inozemna ekonomska pomoć</t>
  </si>
  <si>
    <t>Opće usluge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</si>
  <si>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</si>
  <si>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</si>
  <si>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</si>
  <si>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</si>
  <si>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</si>
  <si>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</si>
  <si>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</si>
  <si>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</si>
  <si>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</si>
  <si>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</si>
  <si>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</si>
  <si>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</si>
  <si>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</si>
  <si>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</si>
  <si>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</si>
  <si>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</si>
  <si>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</si>
  <si>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</si>
  <si>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</si>
  <si>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</si>
  <si>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</si>
  <si>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</si>
  <si>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</si>
  <si>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</si>
  <si>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</si>
  <si>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</si>
  <si>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</si>
  <si>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</si>
  <si>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</si>
  <si>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</si>
  <si>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</si>
  <si>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</si>
  <si>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</si>
  <si>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</si>
  <si>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</si>
  <si>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</si>
  <si>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</si>
  <si>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</si>
  <si>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</si>
  <si>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</si>
  <si>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</si>
  <si>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</si>
  <si>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</si>
  <si>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</si>
  <si>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</si>
  <si>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</si>
  <si>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</si>
  <si>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</si>
  <si>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</si>
  <si>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</si>
  <si>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</si>
  <si>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</si>
  <si>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</si>
  <si>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</si>
  <si>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</si>
  <si>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</si>
  <si>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</si>
  <si>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</si>
  <si>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</si>
  <si>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</si>
  <si>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</si>
  <si>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</si>
  <si>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</si>
  <si>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</si>
  <si>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</si>
  <si>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</si>
  <si>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</si>
  <si>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B. RAČUN FINANCIRANJA</t>
  </si>
  <si>
    <t>Izvor prihoda i primitaka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</si>
  <si>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</si>
  <si>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</si>
  <si>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</si>
  <si>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</si>
  <si>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Izdaci za dane zajmove i depozite</t>
  </si>
  <si>
    <t>Izdaci za otplatu glavnice primljenih kredita i zajmova</t>
  </si>
  <si>
    <t>080</t>
  </si>
  <si>
    <t>NOVI AKT</t>
  </si>
  <si>
    <t>NAZIV AKTIVNOSTI / PROJEKTA</t>
  </si>
  <si>
    <t>Glava (O2) - iz podataka (povijesni pogled)</t>
  </si>
  <si>
    <t>d</t>
  </si>
  <si>
    <t>Podprogram (P3)</t>
  </si>
  <si>
    <t>Funkcijsko područje (F3)</t>
  </si>
  <si>
    <t>Ministarstvo znanosti i obrazovanja</t>
  </si>
  <si>
    <t>A768053</t>
  </si>
  <si>
    <t>EUROPSKE ŠKOLE</t>
  </si>
  <si>
    <t>A768054</t>
  </si>
  <si>
    <t>DODATNA SREDSTVA IZRAVNANJA ZA DECENTRALIZIRANE FUNKCIJE</t>
  </si>
  <si>
    <t>K621173</t>
  </si>
  <si>
    <t>INFORMACIJSKA INFRASTRUKTURA SUSTAVA VISOKOG OBRAZOVANJA</t>
  </si>
  <si>
    <t>Javni instituti u Republici Hrvatskoj</t>
  </si>
  <si>
    <t>Državni zavod za intelektualno vlasništvo</t>
  </si>
  <si>
    <t>21836</t>
  </si>
  <si>
    <t>Nacionalna i sveučilišna knjižnica</t>
  </si>
  <si>
    <t>21852</t>
  </si>
  <si>
    <t>Hrvatska akademska i istraživačka mreža Carnet</t>
  </si>
  <si>
    <t>21869</t>
  </si>
  <si>
    <t>Leksikografski zavod Miroslav Krleža</t>
  </si>
  <si>
    <t>23665</t>
  </si>
  <si>
    <t>Sveučilišni računski centar SRCE</t>
  </si>
  <si>
    <t>23962</t>
  </si>
  <si>
    <t>Agencija za odgoj i obrazovanje</t>
  </si>
  <si>
    <t>38487</t>
  </si>
  <si>
    <t>Agencija za znanost i visoko obrazovanje</t>
  </si>
  <si>
    <t>40883</t>
  </si>
  <si>
    <t>Nacionalni centar za vanjsko vrednovanje obrazovanja</t>
  </si>
  <si>
    <t>43335</t>
  </si>
  <si>
    <t>Agencija za mobilnost i programe Europske unije</t>
  </si>
  <si>
    <t>46173</t>
  </si>
  <si>
    <t>Agencija za strukovno obrazovanje i obrazovanje odraslih</t>
  </si>
  <si>
    <t>52209</t>
  </si>
  <si>
    <t>Hrvatska zaklada za znanost</t>
  </si>
  <si>
    <t>PODPROJEKTI (P4)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</si>
  <si>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</si>
  <si>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</si>
  <si>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A679071.001</t>
  </si>
  <si>
    <t>ERASMUS+ projekt razvijanja i certificiranja nastavnog plana obrazovnog modula logistike na diplomskim studijima Sveučilišta u Osijeku</t>
  </si>
  <si>
    <t>A679071.002</t>
  </si>
  <si>
    <t>ERASMUS+ projekt uvođenja novog kolegija u nastavni plan i program Ekonomskog fakulteta u Osijeku</t>
  </si>
  <si>
    <t>A679071.003</t>
  </si>
  <si>
    <t>ERASMUS+ projekt unaprjeđenja i promicanja telekomunikacijskog inženjeringa</t>
  </si>
  <si>
    <t>A679071.007</t>
  </si>
  <si>
    <t>ERASMUS+ projekt razvijanja pedagoških vještina kroz boravak na inozemnim ustanovama</t>
  </si>
  <si>
    <t>K679111</t>
  </si>
  <si>
    <t>OP UČINKOVITI LJUDSKI POTENCIJALI 2014.-2020., PRIORITET 1 - GARANCIJA ZA MLADE</t>
  </si>
  <si>
    <t>Dopušteni izvor</t>
  </si>
  <si>
    <t>Unos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</si>
  <si>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</si>
  <si>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</si>
  <si>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</si>
  <si>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</si>
  <si>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</si>
  <si>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</si>
  <si>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</si>
  <si>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</si>
  <si>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</si>
  <si>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</si>
  <si>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</si>
  <si>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</si>
  <si>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</si>
  <si>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</si>
  <si>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</si>
  <si>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</si>
  <si>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</si>
  <si>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</si>
  <si>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</si>
  <si>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</si>
  <si>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</si>
  <si>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</si>
  <si>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</si>
  <si>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</si>
  <si>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</si>
  <si>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</si>
  <si>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</si>
  <si>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</si>
  <si>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</si>
  <si>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</si>
  <si>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</si>
  <si>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</si>
  <si>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</si>
  <si>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</si>
  <si>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</si>
  <si>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</si>
  <si>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</si>
  <si>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</si>
  <si>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</si>
  <si>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</si>
  <si>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</si>
  <si>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</si>
  <si>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</si>
  <si>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</si>
  <si>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</si>
  <si>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</si>
  <si>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</si>
  <si>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</si>
  <si>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</si>
  <si>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</si>
  <si>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</si>
  <si>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</si>
  <si>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</si>
  <si>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</si>
  <si>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</si>
  <si>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</si>
  <si>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</si>
  <si>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</si>
  <si>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</si>
  <si>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</si>
  <si>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</si>
  <si>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</si>
  <si>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</si>
  <si>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</si>
  <si>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</si>
  <si>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</si>
  <si>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</si>
  <si>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</si>
  <si>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</si>
  <si>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</si>
  <si>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</si>
  <si>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</si>
  <si>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</si>
  <si>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</si>
  <si>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</si>
  <si>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</si>
  <si>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</si>
  <si>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</si>
  <si>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</si>
  <si>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</si>
  <si>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</si>
  <si>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</si>
  <si>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</si>
  <si>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</si>
  <si>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</si>
  <si>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</si>
  <si>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</si>
  <si>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</si>
  <si>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</si>
  <si>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</si>
  <si>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</si>
  <si>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</si>
  <si>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</si>
  <si>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</si>
  <si>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</si>
  <si>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</si>
  <si>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</si>
  <si>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</si>
  <si>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</si>
  <si>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</si>
  <si>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</si>
  <si>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</si>
  <si>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</si>
  <si>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</si>
  <si>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</si>
  <si>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</si>
  <si>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</si>
  <si>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</si>
  <si>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</si>
  <si>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</si>
  <si>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</si>
  <si>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</si>
  <si>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</si>
  <si>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</si>
  <si>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</si>
  <si>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</si>
  <si>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</si>
  <si>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</si>
  <si>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</si>
  <si>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</si>
  <si>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</si>
  <si>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</si>
  <si>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</si>
  <si>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</si>
  <si>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</si>
  <si>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</si>
  <si>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</si>
  <si>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</si>
  <si>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</si>
  <si>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</si>
  <si>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</si>
  <si>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</si>
  <si>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</si>
  <si>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</si>
  <si>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</si>
  <si>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</si>
  <si>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</si>
  <si>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</si>
  <si>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</si>
  <si>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</si>
  <si>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</si>
  <si>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</si>
  <si>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</si>
  <si>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</si>
  <si>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</si>
  <si>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</si>
  <si>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</si>
  <si>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</si>
  <si>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</si>
  <si>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</si>
  <si>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</si>
  <si>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</si>
  <si>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</si>
  <si>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</si>
  <si>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</si>
  <si>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</si>
  <si>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</si>
  <si>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</si>
  <si>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</si>
  <si>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</si>
  <si>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</si>
  <si>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</si>
  <si>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</si>
  <si>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</si>
  <si>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</si>
  <si>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</si>
  <si>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</si>
  <si>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</si>
  <si>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</si>
  <si>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</si>
  <si>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</si>
  <si>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</si>
  <si>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</si>
  <si>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</si>
  <si>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</si>
  <si>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</si>
  <si>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</si>
  <si>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</si>
  <si>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</si>
  <si>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</si>
  <si>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</si>
  <si>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</si>
  <si>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</si>
  <si>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</si>
  <si>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</si>
  <si>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</si>
  <si>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</si>
  <si>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</si>
  <si>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</si>
  <si>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</si>
  <si>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</si>
  <si>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</si>
  <si>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</si>
  <si>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</si>
  <si>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</si>
  <si>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</si>
  <si>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</si>
  <si>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</si>
  <si>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</si>
  <si>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</si>
  <si>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</si>
  <si>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</si>
  <si>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</si>
  <si>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</si>
  <si>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</si>
  <si>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</si>
  <si>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</si>
  <si>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</si>
  <si>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</si>
  <si>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</si>
  <si>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</si>
  <si>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</si>
  <si>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</si>
  <si>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</si>
  <si>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</si>
  <si>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</si>
  <si>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</si>
  <si>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</si>
  <si>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</si>
  <si>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</si>
  <si>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</si>
  <si>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</si>
  <si>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</si>
  <si>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</si>
  <si>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</si>
  <si>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</si>
  <si>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</si>
  <si>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</si>
  <si>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</si>
  <si>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</si>
  <si>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</si>
  <si>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</si>
  <si>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</si>
  <si>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</si>
  <si>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</si>
  <si>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</si>
  <si>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</si>
  <si>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</si>
  <si>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</si>
  <si>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</si>
  <si>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</si>
  <si>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</si>
  <si>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</si>
  <si>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</si>
  <si>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</si>
  <si>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</si>
  <si>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</si>
  <si>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</si>
  <si>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</si>
  <si>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</si>
  <si>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</si>
  <si>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</si>
  <si>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</si>
  <si>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</si>
  <si>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</si>
  <si>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</si>
  <si>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</si>
  <si>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</si>
  <si>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</si>
  <si>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</si>
  <si>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</si>
  <si>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</si>
  <si>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</si>
  <si>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</si>
  <si>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</si>
  <si>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</si>
  <si>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</si>
  <si>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</si>
  <si>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</si>
  <si>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</si>
  <si>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</si>
  <si>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</si>
  <si>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</si>
  <si>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</si>
  <si>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</si>
  <si>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</si>
  <si>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</si>
  <si>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</si>
  <si>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</si>
  <si>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</si>
  <si>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</si>
  <si>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</si>
  <si>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</si>
  <si>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</si>
  <si>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</si>
  <si>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</si>
  <si>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</si>
  <si>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</si>
  <si>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</si>
  <si>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</si>
  <si>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</si>
  <si>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</si>
  <si>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</si>
  <si>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</si>
  <si>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</si>
  <si>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</si>
  <si>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</si>
  <si>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</si>
  <si>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</si>
  <si>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</si>
  <si>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</si>
  <si>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</si>
  <si>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</si>
  <si>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</si>
  <si>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</si>
  <si>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</si>
  <si>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</si>
  <si>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</si>
  <si>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</si>
  <si>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</si>
  <si>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</si>
  <si>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</si>
  <si>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</si>
  <si>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</si>
  <si>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</si>
  <si>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</si>
  <si>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</si>
  <si>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</si>
  <si>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</si>
  <si>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</si>
  <si>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</si>
  <si>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</si>
  <si>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</si>
  <si>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</si>
  <si>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</si>
  <si>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</si>
  <si>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</si>
  <si>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</si>
  <si>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</si>
  <si>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</si>
  <si>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</si>
  <si>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</si>
  <si>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</si>
  <si>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</si>
  <si>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</si>
  <si>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</si>
  <si>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</si>
  <si>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</si>
  <si>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</si>
  <si>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</si>
  <si>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</si>
  <si>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</si>
  <si>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</si>
  <si>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</si>
  <si>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</si>
  <si>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</si>
  <si>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</si>
  <si>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</si>
  <si>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</si>
  <si>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</si>
  <si>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</si>
  <si>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</si>
  <si>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</si>
  <si>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</si>
  <si>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</si>
  <si>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</si>
  <si>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</si>
  <si>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</si>
  <si>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</si>
  <si>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</si>
  <si>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</si>
  <si>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</si>
  <si>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</si>
  <si>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</si>
  <si>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</si>
  <si>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</si>
  <si>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</si>
  <si>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</si>
  <si>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</si>
  <si>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</si>
  <si>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</si>
  <si>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</si>
  <si>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</si>
  <si>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</si>
  <si>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</si>
  <si>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</si>
  <si>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</si>
  <si>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</si>
  <si>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</si>
  <si>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</si>
  <si>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</si>
  <si>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</si>
  <si>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</si>
  <si>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</si>
  <si>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</si>
  <si>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</si>
  <si>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</si>
  <si>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</si>
  <si>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</si>
  <si>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</si>
  <si>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</si>
  <si>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</si>
  <si>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</si>
  <si>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</si>
  <si>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</si>
  <si>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</si>
  <si>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</si>
  <si>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</si>
  <si>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</si>
  <si>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</si>
  <si>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</si>
  <si>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</si>
  <si>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</si>
  <si>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</si>
  <si>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</si>
  <si>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</si>
  <si>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</si>
  <si>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</si>
  <si>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</si>
  <si>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</si>
  <si>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</si>
  <si>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</si>
  <si>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</si>
  <si>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</si>
  <si>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</si>
  <si>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</si>
  <si>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</si>
  <si>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</si>
  <si>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</si>
  <si>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</si>
  <si>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</si>
  <si>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</si>
  <si>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</si>
  <si>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</si>
  <si>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</si>
  <si>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</si>
  <si>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</si>
  <si>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</si>
  <si>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</si>
  <si>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</si>
  <si>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</si>
  <si>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</si>
  <si>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</si>
  <si>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</si>
  <si>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</si>
  <si>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</si>
  <si>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</si>
  <si>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</si>
  <si>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</si>
  <si>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</si>
  <si>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</si>
  <si>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</si>
  <si>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</si>
  <si>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</si>
  <si>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</si>
  <si>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</si>
  <si>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</si>
  <si>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</si>
  <si>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</si>
  <si>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</si>
  <si>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</si>
  <si>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</si>
  <si>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</si>
  <si>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</si>
  <si>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</si>
  <si>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</si>
  <si>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</si>
  <si>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</si>
  <si>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</si>
  <si>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</si>
  <si>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</si>
  <si>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</si>
  <si>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</si>
  <si>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</si>
  <si>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</si>
  <si>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</si>
  <si>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</si>
  <si>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</si>
  <si>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</si>
  <si>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</si>
  <si>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</si>
  <si>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</si>
  <si>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VELEUČILIŠTE U POŽEGI</t>
  </si>
  <si>
    <t>34000 POŽEGA</t>
  </si>
  <si>
    <t>14821098391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</si>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</sst>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&quot;.&quot;"/>
    <numFmt numFmtId="167" formatCode="00000000"/>
    <numFmt numFmtId="168" formatCode="&quot;- &quot;@"/>
    <numFmt numFmtId="169" formatCode="&quot;+ &quot;@"/>
  </numFmts>
  <fonts count="8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56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i/>
      <sz val="10"/>
      <color indexed="8"/>
      <name val="MS Sans Serif"/>
      <charset val="238"/>
    </font>
    <font>
      <b/>
      <sz val="12"/>
      <color indexed="9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10"/>
      <color indexed="56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lightGray">
        <bgColor auto="1"/>
      </patternFill>
    </fill>
    <fill>
      <patternFill patternType="solid">
        <fgColor rgb="FFFFFF00"/>
        <bgColor indexed="62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35">
    <xf numFmtId="0" fontId="0" fillId="0" borderId="0"/>
    <xf numFmtId="165" fontId="23" fillId="0" borderId="0" applyFont="0" applyFill="0" applyBorder="0" applyAlignment="0" applyProtection="0"/>
    <xf numFmtId="0" fontId="14" fillId="0" borderId="0"/>
    <xf numFmtId="0" fontId="22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13" fillId="4" borderId="1" applyNumberFormat="0" applyProtection="0">
      <alignment vertical="center"/>
    </xf>
    <xf numFmtId="4" fontId="13" fillId="6" borderId="1" applyNumberFormat="0" applyProtection="0">
      <alignment horizontal="left" vertical="center" indent="1" justifyLastLine="1"/>
    </xf>
    <xf numFmtId="4" fontId="13" fillId="5" borderId="1" applyNumberFormat="0" applyProtection="0">
      <alignment horizontal="left" vertical="center" indent="1" justifyLastLine="1"/>
    </xf>
    <xf numFmtId="4" fontId="13" fillId="7" borderId="1" applyNumberFormat="0" applyProtection="0">
      <alignment horizontal="right" vertical="center"/>
    </xf>
    <xf numFmtId="0" fontId="13" fillId="3" borderId="1" applyNumberFormat="0" applyProtection="0">
      <alignment horizontal="left" vertical="center" indent="1" justifyLastLine="1"/>
    </xf>
    <xf numFmtId="0" fontId="13" fillId="8" borderId="1" applyNumberFormat="0" applyProtection="0">
      <alignment horizontal="left" vertical="center" indent="1" justifyLastLine="1"/>
    </xf>
    <xf numFmtId="0" fontId="13" fillId="2" borderId="1" applyNumberFormat="0" applyProtection="0">
      <alignment horizontal="left" vertical="center" indent="1" justifyLastLine="1"/>
    </xf>
    <xf numFmtId="0" fontId="13" fillId="9" borderId="1" applyNumberFormat="0" applyProtection="0">
      <alignment horizontal="left" vertical="center" indent="1" justifyLastLine="1"/>
    </xf>
    <xf numFmtId="0" fontId="27" fillId="10" borderId="2" applyBorder="0"/>
    <xf numFmtId="4" fontId="13" fillId="0" borderId="1" applyNumberFormat="0" applyProtection="0">
      <alignment horizontal="right" vertical="center"/>
    </xf>
    <xf numFmtId="4" fontId="13" fillId="5" borderId="1" applyNumberFormat="0" applyProtection="0">
      <alignment horizontal="left" vertical="center" indent="1" justifyLastLine="1"/>
    </xf>
    <xf numFmtId="0" fontId="35" fillId="21" borderId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1" fillId="33" borderId="0" applyNumberFormat="0" applyBorder="0" applyAlignment="0" applyProtection="0"/>
    <xf numFmtId="0" fontId="42" fillId="28" borderId="0" applyNumberFormat="0" applyBorder="0" applyAlignment="0" applyProtection="0"/>
    <xf numFmtId="0" fontId="42" fillId="34" borderId="0" applyNumberFormat="0" applyBorder="0" applyAlignment="0" applyProtection="0"/>
    <xf numFmtId="0" fontId="41" fillId="29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1" fillId="27" borderId="0" applyNumberFormat="0" applyBorder="0" applyAlignment="0" applyProtection="0"/>
    <xf numFmtId="0" fontId="42" fillId="11" borderId="0" applyNumberFormat="0" applyBorder="0" applyAlignment="0" applyProtection="0"/>
    <xf numFmtId="0" fontId="42" fillId="37" borderId="0" applyNumberFormat="0" applyBorder="0" applyAlignment="0" applyProtection="0"/>
    <xf numFmtId="0" fontId="41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4" fontId="45" fillId="6" borderId="1" applyNumberFormat="0" applyProtection="0">
      <alignment vertical="center"/>
    </xf>
    <xf numFmtId="0" fontId="38" fillId="4" borderId="14" applyNumberFormat="0" applyProtection="0">
      <alignment horizontal="left" vertical="top" indent="1"/>
    </xf>
    <xf numFmtId="4" fontId="13" fillId="42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13" fillId="44" borderId="3" applyNumberFormat="0" applyProtection="0">
      <alignment horizontal="right" vertical="center"/>
    </xf>
    <xf numFmtId="4" fontId="13" fillId="24" borderId="1" applyNumberFormat="0" applyProtection="0">
      <alignment horizontal="right" vertical="center"/>
    </xf>
    <xf numFmtId="4" fontId="13" fillId="45" borderId="1" applyNumberFormat="0" applyProtection="0">
      <alignment horizontal="right" vertical="center"/>
    </xf>
    <xf numFmtId="4" fontId="13" fillId="46" borderId="1" applyNumberFormat="0" applyProtection="0">
      <alignment horizontal="right" vertical="center"/>
    </xf>
    <xf numFmtId="4" fontId="13" fillId="23" borderId="1" applyNumberFormat="0" applyProtection="0">
      <alignment horizontal="right" vertical="center"/>
    </xf>
    <xf numFmtId="4" fontId="13" fillId="22" borderId="1" applyNumberFormat="0" applyProtection="0">
      <alignment horizontal="right" vertical="center"/>
    </xf>
    <xf numFmtId="4" fontId="13" fillId="47" borderId="1" applyNumberFormat="0" applyProtection="0">
      <alignment horizontal="right" vertical="center"/>
    </xf>
    <xf numFmtId="4" fontId="13" fillId="48" borderId="3" applyNumberFormat="0" applyProtection="0">
      <alignment horizontal="left" vertical="center" indent="1" justifyLastLine="1"/>
    </xf>
    <xf numFmtId="4" fontId="37" fillId="10" borderId="3" applyNumberFormat="0" applyProtection="0">
      <alignment horizontal="left" vertical="center" indent="1" justifyLastLine="1"/>
    </xf>
    <xf numFmtId="4" fontId="37" fillId="10" borderId="3" applyNumberFormat="0" applyProtection="0">
      <alignment horizontal="left" vertical="center" indent="1" justifyLastLine="1"/>
    </xf>
    <xf numFmtId="4" fontId="13" fillId="9" borderId="3" applyNumberFormat="0" applyProtection="0">
      <alignment horizontal="left" vertical="center" indent="1" justifyLastLine="1"/>
    </xf>
    <xf numFmtId="4" fontId="13" fillId="7" borderId="3" applyNumberFormat="0" applyProtection="0">
      <alignment horizontal="left" vertical="center" indent="1" justifyLastLine="1"/>
    </xf>
    <xf numFmtId="0" fontId="13" fillId="10" borderId="14" applyNumberFormat="0" applyProtection="0">
      <alignment horizontal="left" vertical="top" indent="1"/>
    </xf>
    <xf numFmtId="0" fontId="13" fillId="7" borderId="14" applyNumberFormat="0" applyProtection="0">
      <alignment horizontal="left" vertical="top" indent="1"/>
    </xf>
    <xf numFmtId="0" fontId="13" fillId="2" borderId="14" applyNumberFormat="0" applyProtection="0">
      <alignment horizontal="left" vertical="top" indent="1"/>
    </xf>
    <xf numFmtId="0" fontId="13" fillId="9" borderId="14" applyNumberFormat="0" applyProtection="0">
      <alignment horizontal="left" vertical="top" indent="1"/>
    </xf>
    <xf numFmtId="0" fontId="13" fillId="49" borderId="15" applyNumberFormat="0">
      <protection locked="0"/>
    </xf>
    <xf numFmtId="4" fontId="36" fillId="50" borderId="14" applyNumberFormat="0" applyProtection="0">
      <alignment vertical="center"/>
    </xf>
    <xf numFmtId="4" fontId="46" fillId="0" borderId="6" applyNumberFormat="0" applyProtection="0">
      <alignment vertical="center"/>
    </xf>
    <xf numFmtId="4" fontId="36" fillId="3" borderId="14" applyNumberFormat="0" applyProtection="0">
      <alignment horizontal="left" vertical="center" indent="1"/>
    </xf>
    <xf numFmtId="0" fontId="36" fillId="50" borderId="14" applyNumberFormat="0" applyProtection="0">
      <alignment horizontal="left" vertical="top" indent="1"/>
    </xf>
    <xf numFmtId="4" fontId="45" fillId="15" borderId="1" applyNumberFormat="0" applyProtection="0">
      <alignment horizontal="right" vertical="center"/>
    </xf>
    <xf numFmtId="0" fontId="36" fillId="7" borderId="14" applyNumberFormat="0" applyProtection="0">
      <alignment horizontal="left" vertical="top" indent="1"/>
    </xf>
    <xf numFmtId="4" fontId="39" fillId="51" borderId="3" applyNumberFormat="0" applyProtection="0">
      <alignment horizontal="left" vertical="center" indent="1" justifyLastLine="1"/>
    </xf>
    <xf numFmtId="0" fontId="46" fillId="0" borderId="6"/>
    <xf numFmtId="4" fontId="40" fillId="49" borderId="1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8" fillId="0" borderId="0"/>
    <xf numFmtId="0" fontId="48" fillId="0" borderId="0"/>
    <xf numFmtId="0" fontId="13" fillId="3" borderId="1" applyNumberFormat="0" applyProtection="0">
      <alignment horizontal="left" vertical="center" indent="1"/>
    </xf>
    <xf numFmtId="0" fontId="58" fillId="0" borderId="30" applyNumberFormat="0" applyFill="0" applyAlignment="0" applyProtection="0"/>
    <xf numFmtId="0" fontId="24" fillId="21" borderId="0"/>
    <xf numFmtId="4" fontId="63" fillId="6" borderId="31" applyNumberFormat="0" applyProtection="0">
      <alignment vertical="center"/>
    </xf>
    <xf numFmtId="4" fontId="64" fillId="6" borderId="31" applyNumberFormat="0" applyProtection="0">
      <alignment vertical="center"/>
    </xf>
    <xf numFmtId="4" fontId="63" fillId="6" borderId="31" applyNumberFormat="0" applyProtection="0">
      <alignment horizontal="left" vertical="center" indent="1"/>
    </xf>
    <xf numFmtId="4" fontId="63" fillId="6" borderId="31" applyNumberFormat="0" applyProtection="0">
      <alignment horizontal="left" vertical="center" indent="1"/>
    </xf>
    <xf numFmtId="0" fontId="26" fillId="2" borderId="31" applyNumberFormat="0" applyProtection="0">
      <alignment horizontal="left" vertical="center" indent="1"/>
    </xf>
    <xf numFmtId="4" fontId="63" fillId="56" borderId="31" applyNumberFormat="0" applyProtection="0">
      <alignment horizontal="right" vertical="center"/>
    </xf>
    <xf numFmtId="4" fontId="63" fillId="57" borderId="31" applyNumberFormat="0" applyProtection="0">
      <alignment horizontal="right" vertical="center"/>
    </xf>
    <xf numFmtId="4" fontId="63" fillId="58" borderId="31" applyNumberFormat="0" applyProtection="0">
      <alignment horizontal="right" vertical="center"/>
    </xf>
    <xf numFmtId="4" fontId="63" fillId="16" borderId="31" applyNumberFormat="0" applyProtection="0">
      <alignment horizontal="right" vertical="center"/>
    </xf>
    <xf numFmtId="4" fontId="63" fillId="59" borderId="31" applyNumberFormat="0" applyProtection="0">
      <alignment horizontal="right" vertical="center"/>
    </xf>
    <xf numFmtId="4" fontId="63" fillId="60" borderId="31" applyNumberFormat="0" applyProtection="0">
      <alignment horizontal="right" vertical="center"/>
    </xf>
    <xf numFmtId="4" fontId="63" fillId="61" borderId="31" applyNumberFormat="0" applyProtection="0">
      <alignment horizontal="right" vertical="center"/>
    </xf>
    <xf numFmtId="4" fontId="63" fillId="62" borderId="31" applyNumberFormat="0" applyProtection="0">
      <alignment horizontal="right" vertical="center"/>
    </xf>
    <xf numFmtId="4" fontId="63" fillId="63" borderId="31" applyNumberFormat="0" applyProtection="0">
      <alignment horizontal="right" vertical="center"/>
    </xf>
    <xf numFmtId="4" fontId="65" fillId="64" borderId="31" applyNumberFormat="0" applyProtection="0">
      <alignment horizontal="left" vertical="center" indent="1"/>
    </xf>
    <xf numFmtId="4" fontId="63" fillId="65" borderId="32" applyNumberFormat="0" applyProtection="0">
      <alignment horizontal="left" vertical="center" indent="1"/>
    </xf>
    <xf numFmtId="4" fontId="66" fillId="66" borderId="0" applyNumberFormat="0" applyProtection="0">
      <alignment horizontal="left" vertical="center" indent="1"/>
    </xf>
    <xf numFmtId="0" fontId="69" fillId="2" borderId="31" applyNumberFormat="0" applyProtection="0">
      <alignment horizontal="center" vertical="center"/>
    </xf>
    <xf numFmtId="4" fontId="17" fillId="65" borderId="31" applyNumberFormat="0" applyProtection="0">
      <alignment horizontal="left" vertical="center" indent="1"/>
    </xf>
    <xf numFmtId="4" fontId="17" fillId="67" borderId="31" applyNumberFormat="0" applyProtection="0">
      <alignment horizontal="left" vertical="center" indent="1"/>
    </xf>
    <xf numFmtId="0" fontId="22" fillId="67" borderId="31" applyNumberFormat="0" applyProtection="0">
      <alignment horizontal="left" vertical="center" wrapText="1" indent="1"/>
    </xf>
    <xf numFmtId="0" fontId="22" fillId="67" borderId="31" applyNumberFormat="0" applyProtection="0">
      <alignment horizontal="left" vertical="center" indent="1"/>
    </xf>
    <xf numFmtId="0" fontId="22" fillId="68" borderId="31" applyNumberFormat="0" applyProtection="0">
      <alignment horizontal="left" vertical="center" wrapText="1" indent="1"/>
    </xf>
    <xf numFmtId="0" fontId="22" fillId="68" borderId="31" applyNumberFormat="0" applyProtection="0">
      <alignment horizontal="left" vertical="center" indent="1"/>
    </xf>
    <xf numFmtId="0" fontId="22" fillId="69" borderId="31" applyNumberFormat="0" applyProtection="0">
      <alignment horizontal="left" vertical="center" wrapText="1" indent="1"/>
    </xf>
    <xf numFmtId="0" fontId="22" fillId="69" borderId="31" applyNumberFormat="0" applyProtection="0">
      <alignment horizontal="left" vertical="center" indent="1"/>
    </xf>
    <xf numFmtId="0" fontId="22" fillId="14" borderId="31" applyNumberFormat="0" applyProtection="0">
      <alignment horizontal="left" vertical="center" wrapText="1" indent="1"/>
    </xf>
    <xf numFmtId="0" fontId="22" fillId="14" borderId="31" applyNumberFormat="0" applyProtection="0">
      <alignment horizontal="left" vertical="center" indent="1"/>
    </xf>
    <xf numFmtId="0" fontId="22" fillId="0" borderId="0"/>
    <xf numFmtId="4" fontId="63" fillId="13" borderId="31" applyNumberFormat="0" applyProtection="0">
      <alignment vertical="center"/>
    </xf>
    <xf numFmtId="4" fontId="64" fillId="13" borderId="31" applyNumberFormat="0" applyProtection="0">
      <alignment vertical="center"/>
    </xf>
    <xf numFmtId="4" fontId="63" fillId="13" borderId="31" applyNumberFormat="0" applyProtection="0">
      <alignment horizontal="left" vertical="center" indent="1"/>
    </xf>
    <xf numFmtId="4" fontId="63" fillId="13" borderId="31" applyNumberFormat="0" applyProtection="0">
      <alignment horizontal="left" vertical="center" indent="1"/>
    </xf>
    <xf numFmtId="4" fontId="63" fillId="65" borderId="31" applyNumberFormat="0" applyProtection="0">
      <alignment horizontal="right" vertical="center"/>
    </xf>
    <xf numFmtId="4" fontId="64" fillId="65" borderId="31" applyNumberFormat="0" applyProtection="0">
      <alignment horizontal="right" vertical="center"/>
    </xf>
    <xf numFmtId="0" fontId="22" fillId="14" borderId="31" applyNumberFormat="0" applyProtection="0">
      <alignment horizontal="left" vertical="center" indent="1"/>
    </xf>
    <xf numFmtId="0" fontId="26" fillId="2" borderId="31" applyNumberFormat="0" applyProtection="0">
      <alignment horizontal="center" vertical="top" wrapText="1"/>
    </xf>
    <xf numFmtId="0" fontId="68" fillId="0" borderId="0" applyNumberFormat="0" applyProtection="0"/>
    <xf numFmtId="4" fontId="67" fillId="65" borderId="31" applyNumberFormat="0" applyProtection="0">
      <alignment horizontal="right" vertical="center"/>
    </xf>
    <xf numFmtId="0" fontId="24" fillId="21" borderId="0"/>
    <xf numFmtId="4" fontId="13" fillId="6" borderId="1" applyNumberFormat="0" applyProtection="0">
      <alignment horizontal="left" vertical="center" indent="1"/>
    </xf>
    <xf numFmtId="4" fontId="13" fillId="5" borderId="1" applyNumberFormat="0" applyProtection="0">
      <alignment horizontal="left" vertical="center" indent="1"/>
    </xf>
    <xf numFmtId="4" fontId="13" fillId="48" borderId="3" applyNumberFormat="0" applyProtection="0">
      <alignment horizontal="left" vertical="center" indent="1"/>
    </xf>
    <xf numFmtId="4" fontId="37" fillId="10" borderId="3" applyNumberFormat="0" applyProtection="0">
      <alignment horizontal="left" vertical="center" indent="1"/>
    </xf>
    <xf numFmtId="4" fontId="37" fillId="10" borderId="3" applyNumberFormat="0" applyProtection="0">
      <alignment horizontal="left" vertical="center" indent="1"/>
    </xf>
    <xf numFmtId="0" fontId="13" fillId="9" borderId="1" applyNumberFormat="0" applyProtection="0">
      <alignment horizontal="left" vertical="center" indent="1"/>
    </xf>
    <xf numFmtId="4" fontId="45" fillId="13" borderId="5" applyNumberFormat="0" applyProtection="0">
      <alignment vertical="center"/>
    </xf>
    <xf numFmtId="4" fontId="13" fillId="5" borderId="1" applyNumberFormat="0" applyProtection="0">
      <alignment horizontal="left" vertical="center" indent="1"/>
    </xf>
    <xf numFmtId="4" fontId="39" fillId="51" borderId="3" applyNumberFormat="0" applyProtection="0">
      <alignment horizontal="left" vertical="center" indent="1"/>
    </xf>
    <xf numFmtId="4" fontId="13" fillId="9" borderId="3" applyNumberFormat="0" applyProtection="0">
      <alignment horizontal="left" vertical="center" indent="1"/>
    </xf>
    <xf numFmtId="4" fontId="13" fillId="7" borderId="3" applyNumberFormat="0" applyProtection="0">
      <alignment horizontal="left" vertical="center" indent="1"/>
    </xf>
    <xf numFmtId="0" fontId="13" fillId="8" borderId="1" applyNumberFormat="0" applyProtection="0">
      <alignment horizontal="left" vertical="center" indent="1"/>
    </xf>
    <xf numFmtId="0" fontId="13" fillId="2" borderId="1" applyNumberFormat="0" applyProtection="0">
      <alignment horizontal="left" vertical="center" indent="1"/>
    </xf>
    <xf numFmtId="0" fontId="13" fillId="71" borderId="5"/>
    <xf numFmtId="0" fontId="22" fillId="0" borderId="0"/>
    <xf numFmtId="0" fontId="48" fillId="0" borderId="0"/>
    <xf numFmtId="0" fontId="80" fillId="0" borderId="0" applyNumberFormat="0" applyFill="0" applyBorder="0" applyAlignment="0" applyProtection="0"/>
  </cellStyleXfs>
  <cellXfs count="282">
    <xf numFmtId="0" fontId="0" fillId="0" borderId="0" xfId="0"/>
    <xf numFmtId="0" fontId="15" fillId="0" borderId="0" xfId="2" applyFont="1" applyAlignment="1">
      <alignment vertical="center"/>
    </xf>
    <xf numFmtId="0" fontId="16" fillId="12" borderId="4" xfId="2" applyFont="1" applyFill="1" applyBorder="1" applyAlignment="1">
      <alignment horizontal="center" vertical="center" wrapText="1"/>
    </xf>
    <xf numFmtId="3" fontId="19" fillId="13" borderId="5" xfId="2" applyNumberFormat="1" applyFont="1" applyFill="1" applyBorder="1" applyAlignment="1">
      <alignment vertical="center"/>
    </xf>
    <xf numFmtId="0" fontId="24" fillId="0" borderId="1" xfId="19" quotePrefix="1" applyNumberFormat="1" applyFont="1" applyFill="1">
      <alignment horizontal="left" vertical="center" indent="1" justifyLastLine="1"/>
    </xf>
    <xf numFmtId="4" fontId="0" fillId="0" borderId="0" xfId="0" applyNumberFormat="1"/>
    <xf numFmtId="0" fontId="20" fillId="0" borderId="0" xfId="2" applyFont="1" applyAlignment="1">
      <alignment vertical="center"/>
    </xf>
    <xf numFmtId="3" fontId="18" fillId="15" borderId="5" xfId="2" applyNumberFormat="1" applyFont="1" applyFill="1" applyBorder="1" applyAlignment="1">
      <alignment vertical="center" wrapText="1"/>
    </xf>
    <xf numFmtId="0" fontId="18" fillId="0" borderId="0" xfId="2" applyFont="1" applyAlignment="1">
      <alignment vertical="center"/>
    </xf>
    <xf numFmtId="0" fontId="19" fillId="0" borderId="5" xfId="2" applyFont="1" applyBorder="1" applyAlignment="1">
      <alignment vertical="center"/>
    </xf>
    <xf numFmtId="0" fontId="19" fillId="16" borderId="0" xfId="2" applyFont="1" applyFill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9" fillId="16" borderId="0" xfId="2" applyFont="1" applyFill="1" applyAlignment="1">
      <alignment vertical="center"/>
    </xf>
    <xf numFmtId="0" fontId="21" fillId="16" borderId="0" xfId="2" applyFont="1" applyFill="1" applyAlignment="1">
      <alignment vertical="center"/>
    </xf>
    <xf numFmtId="0" fontId="4" fillId="6" borderId="0" xfId="2" applyFont="1" applyFill="1" applyAlignment="1">
      <alignment vertical="center"/>
    </xf>
    <xf numFmtId="0" fontId="21" fillId="15" borderId="0" xfId="2" applyFont="1" applyFill="1" applyAlignment="1">
      <alignment horizontal="center" vertical="center"/>
    </xf>
    <xf numFmtId="0" fontId="15" fillId="15" borderId="0" xfId="2" applyFont="1" applyFill="1" applyAlignment="1">
      <alignment vertical="center" wrapText="1"/>
    </xf>
    <xf numFmtId="0" fontId="15" fillId="15" borderId="0" xfId="2" applyFont="1" applyFill="1" applyAlignment="1">
      <alignment vertical="center"/>
    </xf>
    <xf numFmtId="0" fontId="25" fillId="0" borderId="1" xfId="19" quotePrefix="1" applyNumberFormat="1" applyFont="1" applyFill="1">
      <alignment horizontal="left" vertical="center" indent="1" justifyLastLine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0" fontId="30" fillId="12" borderId="1" xfId="11" quotePrefix="1" applyNumberFormat="1" applyFont="1" applyFill="1">
      <alignment horizontal="left" vertical="center" indent="1" justifyLastLine="1"/>
    </xf>
    <xf numFmtId="3" fontId="30" fillId="12" borderId="1" xfId="19" quotePrefix="1" applyNumberFormat="1" applyFont="1" applyFill="1" applyAlignment="1">
      <alignment horizontal="left" vertical="center" wrapText="1" indent="1" justifyLastLine="1"/>
    </xf>
    <xf numFmtId="3" fontId="16" fillId="12" borderId="4" xfId="2" applyNumberFormat="1" applyFont="1" applyFill="1" applyBorder="1" applyAlignment="1">
      <alignment horizontal="right"/>
    </xf>
    <xf numFmtId="0" fontId="15" fillId="0" borderId="0" xfId="2" applyFont="1"/>
    <xf numFmtId="0" fontId="14" fillId="0" borderId="0" xfId="2"/>
    <xf numFmtId="0" fontId="21" fillId="0" borderId="0" xfId="2" applyFont="1"/>
    <xf numFmtId="0" fontId="14" fillId="0" borderId="0" xfId="2" applyAlignment="1">
      <alignment vertical="center"/>
    </xf>
    <xf numFmtId="0" fontId="19" fillId="0" borderId="0" xfId="2" applyFont="1"/>
    <xf numFmtId="0" fontId="28" fillId="0" borderId="0" xfId="2" applyFont="1"/>
    <xf numFmtId="1" fontId="11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1" fontId="16" fillId="12" borderId="4" xfId="2" applyNumberFormat="1" applyFont="1" applyFill="1" applyBorder="1" applyAlignment="1">
      <alignment horizontal="left" vertical="center" wrapText="1"/>
    </xf>
    <xf numFmtId="49" fontId="15" fillId="0" borderId="5" xfId="2" applyNumberFormat="1" applyFont="1" applyBorder="1" applyAlignment="1">
      <alignment horizontal="left"/>
    </xf>
    <xf numFmtId="0" fontId="11" fillId="0" borderId="5" xfId="6" applyFont="1" applyBorder="1" applyAlignment="1">
      <alignment horizontal="left" vertical="center" wrapText="1"/>
    </xf>
    <xf numFmtId="49" fontId="15" fillId="0" borderId="7" xfId="2" applyNumberFormat="1" applyFont="1" applyBorder="1" applyAlignment="1">
      <alignment horizontal="left"/>
    </xf>
    <xf numFmtId="49" fontId="19" fillId="13" borderId="5" xfId="2" applyNumberFormat="1" applyFont="1" applyFill="1" applyBorder="1" applyAlignment="1">
      <alignment horizontal="left"/>
    </xf>
    <xf numFmtId="0" fontId="18" fillId="13" borderId="5" xfId="6" applyFont="1" applyFill="1" applyBorder="1" applyAlignment="1">
      <alignment horizontal="left" vertical="center" wrapText="1"/>
    </xf>
    <xf numFmtId="0" fontId="15" fillId="0" borderId="5" xfId="7" applyFont="1" applyBorder="1" applyAlignment="1">
      <alignment horizontal="left" wrapText="1"/>
    </xf>
    <xf numFmtId="1" fontId="11" fillId="0" borderId="5" xfId="2" applyNumberFormat="1" applyFont="1" applyBorder="1" applyAlignment="1">
      <alignment horizontal="left" vertical="center" wrapText="1"/>
    </xf>
    <xf numFmtId="0" fontId="11" fillId="0" borderId="5" xfId="8" applyFont="1" applyBorder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1" fillId="0" borderId="7" xfId="6" applyFont="1" applyBorder="1" applyAlignment="1">
      <alignment horizontal="left" vertical="center" wrapText="1"/>
    </xf>
    <xf numFmtId="0" fontId="20" fillId="13" borderId="5" xfId="6" applyFont="1" applyFill="1" applyBorder="1" applyAlignment="1">
      <alignment horizontal="left" vertical="center" wrapText="1"/>
    </xf>
    <xf numFmtId="0" fontId="31" fillId="20" borderId="5" xfId="2" applyFont="1" applyFill="1" applyBorder="1" applyAlignment="1">
      <alignment vertical="center" wrapText="1"/>
    </xf>
    <xf numFmtId="3" fontId="31" fillId="20" borderId="5" xfId="2" applyNumberFormat="1" applyFont="1" applyFill="1" applyBorder="1" applyAlignment="1">
      <alignment vertical="center"/>
    </xf>
    <xf numFmtId="3" fontId="31" fillId="20" borderId="5" xfId="2" applyNumberFormat="1" applyFont="1" applyFill="1" applyBorder="1" applyAlignment="1">
      <alignment vertical="center" wrapText="1"/>
    </xf>
    <xf numFmtId="3" fontId="20" fillId="14" borderId="5" xfId="2" applyNumberFormat="1" applyFont="1" applyFill="1" applyBorder="1" applyAlignment="1">
      <alignment horizontal="left" vertical="center"/>
    </xf>
    <xf numFmtId="3" fontId="20" fillId="14" borderId="5" xfId="2" applyNumberFormat="1" applyFont="1" applyFill="1" applyBorder="1" applyAlignment="1">
      <alignment vertical="center" wrapText="1"/>
    </xf>
    <xf numFmtId="3" fontId="21" fillId="14" borderId="5" xfId="2" applyNumberFormat="1" applyFont="1" applyFill="1" applyBorder="1"/>
    <xf numFmtId="3" fontId="20" fillId="14" borderId="5" xfId="2" applyNumberFormat="1" applyFont="1" applyFill="1" applyBorder="1" applyAlignment="1">
      <alignment vertical="center"/>
    </xf>
    <xf numFmtId="3" fontId="21" fillId="14" borderId="5" xfId="2" applyNumberFormat="1" applyFont="1" applyFill="1" applyBorder="1" applyAlignment="1">
      <alignment vertical="center"/>
    </xf>
    <xf numFmtId="0" fontId="21" fillId="14" borderId="5" xfId="2" applyFont="1" applyFill="1" applyBorder="1" applyAlignment="1">
      <alignment vertical="center"/>
    </xf>
    <xf numFmtId="3" fontId="20" fillId="14" borderId="8" xfId="2" applyNumberFormat="1" applyFont="1" applyFill="1" applyBorder="1" applyAlignment="1">
      <alignment vertical="center"/>
    </xf>
    <xf numFmtId="3" fontId="21" fillId="14" borderId="9" xfId="2" applyNumberFormat="1" applyFont="1" applyFill="1" applyBorder="1" applyAlignment="1">
      <alignment vertical="center"/>
    </xf>
    <xf numFmtId="3" fontId="21" fillId="13" borderId="11" xfId="2" applyNumberFormat="1" applyFont="1" applyFill="1" applyBorder="1"/>
    <xf numFmtId="3" fontId="21" fillId="13" borderId="11" xfId="2" applyNumberFormat="1" applyFont="1" applyFill="1" applyBorder="1" applyAlignment="1">
      <alignment vertical="center"/>
    </xf>
    <xf numFmtId="0" fontId="25" fillId="53" borderId="1" xfId="19" quotePrefix="1" applyNumberFormat="1" applyFont="1" applyFill="1">
      <alignment horizontal="left" vertical="center" indent="1" justifyLastLine="1"/>
    </xf>
    <xf numFmtId="0" fontId="24" fillId="53" borderId="1" xfId="19" quotePrefix="1" applyNumberFormat="1" applyFont="1" applyFill="1">
      <alignment horizontal="left" vertical="center" indent="1" justifyLastLine="1"/>
    </xf>
    <xf numFmtId="3" fontId="11" fillId="15" borderId="5" xfId="2" applyNumberFormat="1" applyFont="1" applyFill="1" applyBorder="1" applyAlignment="1">
      <alignment vertical="center"/>
    </xf>
    <xf numFmtId="0" fontId="30" fillId="12" borderId="1" xfId="11" quotePrefix="1" applyNumberFormat="1" applyFont="1" applyFill="1" applyProtection="1">
      <alignment horizontal="left" vertical="center" indent="1" justifyLastLine="1"/>
    </xf>
    <xf numFmtId="4" fontId="30" fillId="12" borderId="17" xfId="19" applyNumberFormat="1" applyFont="1" applyFill="1" applyBorder="1" applyAlignment="1" applyProtection="1">
      <alignment horizontal="center" vertical="center" wrapText="1" justifyLastLine="1"/>
    </xf>
    <xf numFmtId="0" fontId="24" fillId="53" borderId="1" xfId="19" quotePrefix="1" applyNumberFormat="1" applyFont="1" applyFill="1" applyProtection="1">
      <alignment horizontal="left" vertical="center" indent="1" justifyLastLine="1"/>
    </xf>
    <xf numFmtId="0" fontId="47" fillId="52" borderId="0" xfId="0" applyFont="1" applyFill="1"/>
    <xf numFmtId="3" fontId="51" fillId="12" borderId="1" xfId="19" quotePrefix="1" applyNumberFormat="1" applyFont="1" applyFill="1" applyAlignment="1">
      <alignment horizontal="center" vertical="center" wrapText="1" justifyLastLine="1"/>
    </xf>
    <xf numFmtId="0" fontId="30" fillId="12" borderId="18" xfId="11" applyNumberFormat="1" applyFont="1" applyFill="1" applyBorder="1">
      <alignment horizontal="left" vertical="center" indent="1" justifyLastLine="1"/>
    </xf>
    <xf numFmtId="0" fontId="25" fillId="52" borderId="1" xfId="19" quotePrefix="1" applyNumberFormat="1" applyFont="1" applyFill="1" applyAlignment="1" applyProtection="1">
      <alignment horizontal="center" vertical="center" justifyLastLine="1"/>
      <protection locked="0"/>
    </xf>
    <xf numFmtId="0" fontId="24" fillId="0" borderId="1" xfId="19" quotePrefix="1" applyNumberFormat="1" applyFont="1" applyFill="1" applyAlignment="1" applyProtection="1">
      <alignment horizontal="center" vertical="center" justifyLastLine="1"/>
      <protection locked="0"/>
    </xf>
    <xf numFmtId="0" fontId="3" fillId="0" borderId="0" xfId="4" applyFont="1"/>
    <xf numFmtId="0" fontId="1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9" fillId="52" borderId="5" xfId="73" applyFont="1" applyFill="1" applyBorder="1" applyAlignment="1">
      <alignment horizontal="center" vertical="center"/>
    </xf>
    <xf numFmtId="0" fontId="49" fillId="52" borderId="9" xfId="73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49" fillId="52" borderId="5" xfId="2" applyFont="1" applyFill="1" applyBorder="1" applyAlignment="1">
      <alignment horizontal="left" vertical="center"/>
    </xf>
    <xf numFmtId="0" fontId="7" fillId="0" borderId="0" xfId="4" applyFont="1" applyAlignment="1">
      <alignment horizontal="left" vertical="center" wrapText="1"/>
    </xf>
    <xf numFmtId="0" fontId="8" fillId="17" borderId="4" xfId="4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left" vertical="center" wrapText="1"/>
    </xf>
    <xf numFmtId="3" fontId="7" fillId="11" borderId="3" xfId="4" applyNumberFormat="1" applyFont="1" applyFill="1" applyBorder="1" applyAlignment="1">
      <alignment horizontal="right" vertical="center" wrapText="1"/>
    </xf>
    <xf numFmtId="0" fontId="7" fillId="0" borderId="0" xfId="4" applyFont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3" fontId="7" fillId="0" borderId="3" xfId="4" applyNumberFormat="1" applyFont="1" applyBorder="1" applyAlignment="1">
      <alignment horizontal="right" vertical="center"/>
    </xf>
    <xf numFmtId="0" fontId="9" fillId="0" borderId="3" xfId="4" applyFont="1" applyBorder="1" applyAlignment="1">
      <alignment horizontal="left" vertical="center"/>
    </xf>
    <xf numFmtId="3" fontId="1" fillId="0" borderId="0" xfId="4" applyNumberFormat="1" applyFont="1" applyAlignment="1">
      <alignment vertical="center"/>
    </xf>
    <xf numFmtId="0" fontId="9" fillId="0" borderId="3" xfId="4" applyFont="1" applyBorder="1" applyAlignment="1">
      <alignment horizontal="center" vertical="center"/>
    </xf>
    <xf numFmtId="3" fontId="7" fillId="11" borderId="3" xfId="4" applyNumberFormat="1" applyFont="1" applyFill="1" applyBorder="1" applyAlignment="1">
      <alignment horizontal="right" vertical="center"/>
    </xf>
    <xf numFmtId="3" fontId="7" fillId="0" borderId="3" xfId="4" applyNumberFormat="1" applyFont="1" applyBorder="1" applyAlignment="1">
      <alignment horizontal="right" vertical="center" wrapText="1"/>
    </xf>
    <xf numFmtId="3" fontId="9" fillId="0" borderId="3" xfId="4" applyNumberFormat="1" applyFon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center" wrapText="1"/>
    </xf>
    <xf numFmtId="3" fontId="7" fillId="0" borderId="0" xfId="4" applyNumberFormat="1" applyFont="1" applyAlignment="1">
      <alignment horizontal="right" vertical="center"/>
    </xf>
    <xf numFmtId="3" fontId="7" fillId="19" borderId="3" xfId="4" applyNumberFormat="1" applyFont="1" applyFill="1" applyBorder="1" applyAlignment="1">
      <alignment horizontal="right" vertical="center"/>
    </xf>
    <xf numFmtId="3" fontId="7" fillId="19" borderId="3" xfId="4" applyNumberFormat="1" applyFont="1" applyFill="1" applyBorder="1" applyAlignment="1">
      <alignment horizontal="right" vertical="center" wrapText="1"/>
    </xf>
    <xf numFmtId="3" fontId="11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8" fillId="17" borderId="4" xfId="4" applyFont="1" applyFill="1" applyBorder="1" applyAlignment="1">
      <alignment horizontal="left" vertical="center" wrapText="1"/>
    </xf>
    <xf numFmtId="3" fontId="8" fillId="17" borderId="4" xfId="4" applyNumberFormat="1" applyFont="1" applyFill="1" applyBorder="1" applyAlignment="1">
      <alignment horizontal="right" vertical="center"/>
    </xf>
    <xf numFmtId="164" fontId="1" fillId="0" borderId="0" xfId="4" applyNumberFormat="1" applyFont="1" applyAlignment="1">
      <alignment vertical="center"/>
    </xf>
    <xf numFmtId="0" fontId="12" fillId="0" borderId="0" xfId="4" applyFont="1"/>
    <xf numFmtId="0" fontId="12" fillId="0" borderId="0" xfId="4" applyFont="1" applyAlignment="1">
      <alignment vertical="center"/>
    </xf>
    <xf numFmtId="3" fontId="24" fillId="0" borderId="1" xfId="18" applyNumberFormat="1" applyFont="1" applyProtection="1">
      <alignment horizontal="right" vertical="center"/>
      <protection locked="0"/>
    </xf>
    <xf numFmtId="0" fontId="24" fillId="0" borderId="1" xfId="18" applyNumberFormat="1" applyFont="1" applyAlignment="1" applyProtection="1">
      <alignment horizontal="center" vertical="center"/>
      <protection locked="0"/>
    </xf>
    <xf numFmtId="0" fontId="25" fillId="53" borderId="1" xfId="19" quotePrefix="1" applyNumberFormat="1" applyFont="1" applyFill="1" applyAlignment="1">
      <alignment horizontal="center" vertical="center" justifyLastLine="1"/>
    </xf>
    <xf numFmtId="3" fontId="15" fillId="0" borderId="7" xfId="2" applyNumberFormat="1" applyFont="1" applyBorder="1" applyAlignment="1">
      <alignment vertical="center"/>
    </xf>
    <xf numFmtId="0" fontId="53" fillId="0" borderId="0" xfId="0" applyFont="1" applyAlignment="1">
      <alignment vertical="top"/>
    </xf>
    <xf numFmtId="0" fontId="24" fillId="53" borderId="1" xfId="0" applyFont="1" applyFill="1" applyBorder="1"/>
    <xf numFmtId="0" fontId="2" fillId="53" borderId="20" xfId="4" applyFont="1" applyFill="1" applyBorder="1" applyAlignment="1">
      <alignment horizontal="left" vertical="center" wrapText="1"/>
    </xf>
    <xf numFmtId="0" fontId="2" fillId="53" borderId="26" xfId="4" applyFont="1" applyFill="1" applyBorder="1" applyAlignment="1">
      <alignment horizontal="left" vertical="center" wrapText="1"/>
    </xf>
    <xf numFmtId="0" fontId="47" fillId="0" borderId="0" xfId="0" applyFont="1"/>
    <xf numFmtId="0" fontId="55" fillId="0" borderId="5" xfId="5" applyFont="1" applyBorder="1" applyAlignment="1">
      <alignment horizontal="left" vertical="center"/>
    </xf>
    <xf numFmtId="14" fontId="24" fillId="0" borderId="1" xfId="18" applyNumberFormat="1" applyFont="1" applyProtection="1">
      <alignment horizontal="right" vertical="center"/>
      <protection locked="0"/>
    </xf>
    <xf numFmtId="0" fontId="24" fillId="0" borderId="1" xfId="18" applyNumberFormat="1" applyFont="1" applyProtection="1">
      <alignment horizontal="right" vertical="center"/>
      <protection locked="0"/>
    </xf>
    <xf numFmtId="0" fontId="54" fillId="17" borderId="1" xfId="4" applyFont="1" applyFill="1" applyBorder="1" applyAlignment="1">
      <alignment horizontal="center" vertical="center" wrapText="1"/>
    </xf>
    <xf numFmtId="168" fontId="13" fillId="0" borderId="1" xfId="14" quotePrefix="1" applyNumberFormat="1" applyFill="1" applyAlignment="1">
      <alignment horizontal="left" vertical="center" indent="3" justifyLastLine="1"/>
    </xf>
    <xf numFmtId="168" fontId="13" fillId="18" borderId="1" xfId="13" quotePrefix="1" applyNumberFormat="1" applyFill="1" applyAlignment="1">
      <alignment horizontal="left" vertical="center" indent="2" justifyLastLine="1"/>
    </xf>
    <xf numFmtId="0" fontId="13" fillId="18" borderId="1" xfId="13" quotePrefix="1" applyFill="1">
      <alignment horizontal="left" vertical="center" indent="1" justifyLastLine="1"/>
    </xf>
    <xf numFmtId="49" fontId="11" fillId="0" borderId="5" xfId="2" applyNumberFormat="1" applyFont="1" applyBorder="1" applyAlignment="1">
      <alignment horizontal="left"/>
    </xf>
    <xf numFmtId="0" fontId="29" fillId="12" borderId="0" xfId="2" applyFont="1" applyFill="1" applyAlignment="1">
      <alignment horizontal="center" vertical="center"/>
    </xf>
    <xf numFmtId="0" fontId="56" fillId="12" borderId="4" xfId="2" applyFont="1" applyFill="1" applyBorder="1" applyAlignment="1">
      <alignment horizontal="center" vertical="center" wrapText="1"/>
    </xf>
    <xf numFmtId="0" fontId="0" fillId="54" borderId="0" xfId="0" applyFill="1"/>
    <xf numFmtId="0" fontId="57" fillId="54" borderId="0" xfId="0" applyFont="1" applyFill="1"/>
    <xf numFmtId="0" fontId="13" fillId="0" borderId="1" xfId="14" quotePrefix="1" applyFill="1">
      <alignment horizontal="left" vertical="center" indent="1" justifyLastLine="1"/>
    </xf>
    <xf numFmtId="49" fontId="49" fillId="0" borderId="29" xfId="0" applyNumberFormat="1" applyFont="1" applyBorder="1" applyAlignment="1">
      <alignment horizontal="center" vertical="center"/>
    </xf>
    <xf numFmtId="49" fontId="49" fillId="52" borderId="5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49" fillId="0" borderId="28" xfId="0" applyNumberFormat="1" applyFont="1" applyBorder="1" applyAlignment="1">
      <alignment horizontal="right" vertical="center"/>
    </xf>
    <xf numFmtId="167" fontId="49" fillId="0" borderId="28" xfId="0" applyNumberFormat="1" applyFont="1" applyBorder="1" applyAlignment="1">
      <alignment horizontal="center" vertical="center"/>
    </xf>
    <xf numFmtId="166" fontId="49" fillId="0" borderId="27" xfId="0" applyNumberFormat="1" applyFont="1" applyBorder="1" applyAlignment="1">
      <alignment horizontal="center" vertical="center"/>
    </xf>
    <xf numFmtId="0" fontId="49" fillId="0" borderId="28" xfId="0" applyFont="1" applyBorder="1" applyAlignment="1">
      <alignment horizontal="left" vertical="center"/>
    </xf>
    <xf numFmtId="0" fontId="49" fillId="0" borderId="28" xfId="0" applyFont="1" applyBorder="1" applyAlignment="1">
      <alignment vertical="center"/>
    </xf>
    <xf numFmtId="0" fontId="49" fillId="0" borderId="28" xfId="74" applyFont="1" applyBorder="1" applyAlignment="1">
      <alignment horizontal="left" vertical="center"/>
    </xf>
    <xf numFmtId="167" fontId="49" fillId="0" borderId="28" xfId="74" applyNumberFormat="1" applyFont="1" applyBorder="1" applyAlignment="1">
      <alignment horizontal="center" vertical="center"/>
    </xf>
    <xf numFmtId="167" fontId="49" fillId="0" borderId="28" xfId="0" quotePrefix="1" applyNumberFormat="1" applyFont="1" applyBorder="1" applyAlignment="1">
      <alignment horizontal="center" vertical="center"/>
    </xf>
    <xf numFmtId="0" fontId="49" fillId="0" borderId="28" xfId="0" applyFont="1" applyBorder="1"/>
    <xf numFmtId="167" fontId="49" fillId="0" borderId="28" xfId="0" applyNumberFormat="1" applyFont="1" applyBorder="1" applyAlignment="1">
      <alignment horizontal="left" vertical="center"/>
    </xf>
    <xf numFmtId="0" fontId="49" fillId="52" borderId="28" xfId="2" applyFont="1" applyFill="1" applyBorder="1" applyAlignment="1">
      <alignment horizontal="left" vertical="center"/>
    </xf>
    <xf numFmtId="0" fontId="58" fillId="55" borderId="30" xfId="76" applyNumberFormat="1" applyFill="1" applyAlignment="1">
      <alignment horizontal="left"/>
    </xf>
    <xf numFmtId="0" fontId="58" fillId="55" borderId="30" xfId="76" applyNumberFormat="1" applyFill="1" applyAlignment="1">
      <alignment horizontal="center"/>
    </xf>
    <xf numFmtId="49" fontId="59" fillId="55" borderId="30" xfId="76" applyNumberFormat="1" applyFont="1" applyFill="1" applyAlignment="1">
      <alignment horizontal="left"/>
    </xf>
    <xf numFmtId="0" fontId="6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7" fillId="0" borderId="0" xfId="0" applyFont="1"/>
    <xf numFmtId="0" fontId="61" fillId="12" borderId="4" xfId="2" applyFont="1" applyFill="1" applyBorder="1" applyAlignment="1">
      <alignment horizontal="center" vertical="center" wrapText="1"/>
    </xf>
    <xf numFmtId="0" fontId="62" fillId="54" borderId="0" xfId="0" applyFont="1" applyFill="1"/>
    <xf numFmtId="0" fontId="22" fillId="70" borderId="31" xfId="100" quotePrefix="1" applyFill="1">
      <alignment horizontal="left" vertical="center" wrapText="1" indent="1"/>
    </xf>
    <xf numFmtId="0" fontId="22" fillId="70" borderId="31" xfId="100" quotePrefix="1" applyFill="1" applyAlignment="1">
      <alignment horizontal="left" vertical="center" wrapText="1" indent="3"/>
    </xf>
    <xf numFmtId="168" fontId="13" fillId="3" borderId="1" xfId="13" quotePrefix="1" applyNumberFormat="1" applyAlignment="1">
      <alignment horizontal="left" vertical="center" indent="2" justifyLastLine="1"/>
    </xf>
    <xf numFmtId="168" fontId="13" fillId="8" borderId="1" xfId="14" quotePrefix="1" applyNumberFormat="1" applyAlignment="1">
      <alignment horizontal="left" vertical="center" indent="3" justifyLastLine="1"/>
    </xf>
    <xf numFmtId="168" fontId="13" fillId="2" borderId="1" xfId="15" quotePrefix="1" applyNumberFormat="1" applyAlignment="1">
      <alignment horizontal="left" vertical="center" indent="4" justifyLastLine="1"/>
    </xf>
    <xf numFmtId="0" fontId="13" fillId="2" borderId="1" xfId="15" quotePrefix="1">
      <alignment horizontal="left" vertical="center" indent="1" justifyLastLine="1"/>
    </xf>
    <xf numFmtId="0" fontId="13" fillId="3" borderId="1" xfId="13" quotePrefix="1">
      <alignment horizontal="left" vertical="center" indent="1" justifyLastLine="1"/>
    </xf>
    <xf numFmtId="0" fontId="13" fillId="8" borderId="1" xfId="14" quotePrefix="1">
      <alignment horizontal="left" vertical="center" indent="1" justifyLastLine="1"/>
    </xf>
    <xf numFmtId="0" fontId="13" fillId="9" borderId="1" xfId="16" quotePrefix="1">
      <alignment horizontal="left" vertical="center" indent="1" justifyLastLine="1"/>
    </xf>
    <xf numFmtId="169" fontId="13" fillId="9" borderId="1" xfId="16" quotePrefix="1" applyNumberFormat="1" applyAlignment="1">
      <alignment horizontal="left" vertical="center" indent="5" justifyLastLine="1"/>
    </xf>
    <xf numFmtId="1" fontId="16" fillId="12" borderId="4" xfId="2" applyNumberFormat="1" applyFont="1" applyFill="1" applyBorder="1" applyAlignment="1">
      <alignment horizontal="center" vertical="center" wrapText="1"/>
    </xf>
    <xf numFmtId="168" fontId="13" fillId="54" borderId="1" xfId="13" quotePrefix="1" applyNumberFormat="1" applyFill="1" applyAlignment="1">
      <alignment horizontal="left" vertical="center" indent="2" justifyLastLine="1"/>
    </xf>
    <xf numFmtId="0" fontId="13" fillId="54" borderId="1" xfId="13" quotePrefix="1" applyFill="1">
      <alignment horizontal="left" vertical="center" indent="1" justifyLastLine="1"/>
    </xf>
    <xf numFmtId="0" fontId="0" fillId="0" borderId="0" xfId="0" applyAlignment="1">
      <alignment horizontal="right"/>
    </xf>
    <xf numFmtId="0" fontId="24" fillId="54" borderId="1" xfId="19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9" applyNumberFormat="1" applyFont="1" applyFill="1" applyBorder="1" applyAlignment="1" applyProtection="1">
      <alignment horizontal="center" vertical="center" wrapText="1" justifyLastLine="1"/>
    </xf>
    <xf numFmtId="0" fontId="22" fillId="0" borderId="0" xfId="132"/>
    <xf numFmtId="0" fontId="70" fillId="0" borderId="35" xfId="73" applyFont="1" applyBorder="1" applyAlignment="1">
      <alignment horizontal="center" vertical="center" wrapText="1"/>
    </xf>
    <xf numFmtId="0" fontId="70" fillId="0" borderId="36" xfId="73" applyFont="1" applyBorder="1" applyAlignment="1">
      <alignment horizontal="center" vertical="center" wrapText="1"/>
    </xf>
    <xf numFmtId="0" fontId="70" fillId="0" borderId="37" xfId="73" applyFont="1" applyBorder="1" applyAlignment="1">
      <alignment horizontal="center" vertical="center" wrapText="1"/>
    </xf>
    <xf numFmtId="49" fontId="25" fillId="0" borderId="38" xfId="73" applyNumberFormat="1" applyFont="1" applyBorder="1" applyAlignment="1">
      <alignment horizontal="center" vertical="center" wrapText="1"/>
    </xf>
    <xf numFmtId="49" fontId="25" fillId="0" borderId="39" xfId="73" applyNumberFormat="1" applyFont="1" applyBorder="1" applyAlignment="1">
      <alignment horizontal="center" vertical="center" wrapText="1"/>
    </xf>
    <xf numFmtId="0" fontId="25" fillId="0" borderId="39" xfId="73" applyFont="1" applyBorder="1" applyAlignment="1">
      <alignment horizontal="center" vertical="center" wrapText="1"/>
    </xf>
    <xf numFmtId="0" fontId="25" fillId="0" borderId="39" xfId="132" applyFont="1" applyBorder="1" applyAlignment="1">
      <alignment horizontal="center" vertical="center"/>
    </xf>
    <xf numFmtId="0" fontId="25" fillId="0" borderId="40" xfId="132" applyFont="1" applyBorder="1" applyAlignment="1">
      <alignment horizontal="center" vertical="center"/>
    </xf>
    <xf numFmtId="0" fontId="71" fillId="0" borderId="0" xfId="132" applyFont="1"/>
    <xf numFmtId="166" fontId="70" fillId="0" borderId="27" xfId="132" applyNumberFormat="1" applyFont="1" applyBorder="1" applyAlignment="1">
      <alignment horizontal="center" vertical="center" wrapText="1"/>
    </xf>
    <xf numFmtId="0" fontId="70" fillId="0" borderId="36" xfId="132" applyFont="1" applyBorder="1" applyAlignment="1">
      <alignment horizontal="center" vertical="center" wrapText="1"/>
    </xf>
    <xf numFmtId="0" fontId="70" fillId="0" borderId="41" xfId="132" applyFont="1" applyBorder="1" applyAlignment="1">
      <alignment horizontal="left" vertical="center" wrapText="1" indent="1"/>
    </xf>
    <xf numFmtId="167" fontId="70" fillId="0" borderId="41" xfId="132" applyNumberFormat="1" applyFont="1" applyBorder="1" applyAlignment="1">
      <alignment horizontal="center" vertical="center" wrapText="1"/>
    </xf>
    <xf numFmtId="49" fontId="70" fillId="0" borderId="42" xfId="132" applyNumberFormat="1" applyFont="1" applyBorder="1" applyAlignment="1">
      <alignment horizontal="center" vertical="center"/>
    </xf>
    <xf numFmtId="0" fontId="26" fillId="0" borderId="0" xfId="132" applyFont="1"/>
    <xf numFmtId="0" fontId="70" fillId="0" borderId="41" xfId="132" applyFont="1" applyBorder="1" applyAlignment="1">
      <alignment horizontal="center" vertical="center" wrapText="1"/>
    </xf>
    <xf numFmtId="0" fontId="70" fillId="0" borderId="28" xfId="132" applyFont="1" applyBorder="1" applyAlignment="1">
      <alignment horizontal="center" vertical="center" wrapText="1"/>
    </xf>
    <xf numFmtId="0" fontId="70" fillId="0" borderId="28" xfId="132" applyFont="1" applyBorder="1" applyAlignment="1">
      <alignment horizontal="left" vertical="center" wrapText="1" indent="1"/>
    </xf>
    <xf numFmtId="167" fontId="70" fillId="0" borderId="28" xfId="132" applyNumberFormat="1" applyFont="1" applyBorder="1" applyAlignment="1">
      <alignment horizontal="center" vertical="center" wrapText="1"/>
    </xf>
    <xf numFmtId="49" fontId="70" fillId="0" borderId="29" xfId="132" applyNumberFormat="1" applyFont="1" applyBorder="1" applyAlignment="1">
      <alignment horizontal="center" vertical="center"/>
    </xf>
    <xf numFmtId="166" fontId="49" fillId="0" borderId="27" xfId="132" applyNumberFormat="1" applyFont="1" applyBorder="1" applyAlignment="1">
      <alignment horizontal="center" vertical="center" wrapText="1"/>
    </xf>
    <xf numFmtId="0" fontId="49" fillId="0" borderId="28" xfId="132" applyFont="1" applyBorder="1" applyAlignment="1">
      <alignment horizontal="center" vertical="center" wrapText="1"/>
    </xf>
    <xf numFmtId="0" fontId="49" fillId="0" borderId="28" xfId="132" applyFont="1" applyBorder="1" applyAlignment="1">
      <alignment horizontal="left" vertical="center" wrapText="1" indent="1"/>
    </xf>
    <xf numFmtId="167" fontId="49" fillId="0" borderId="28" xfId="132" applyNumberFormat="1" applyFont="1" applyBorder="1" applyAlignment="1">
      <alignment horizontal="center" vertical="center" wrapText="1"/>
    </xf>
    <xf numFmtId="49" fontId="49" fillId="0" borderId="29" xfId="132" applyNumberFormat="1" applyFont="1" applyBorder="1" applyAlignment="1">
      <alignment horizontal="center" vertical="center"/>
    </xf>
    <xf numFmtId="167" fontId="49" fillId="0" borderId="28" xfId="132" quotePrefix="1" applyNumberFormat="1" applyFont="1" applyBorder="1" applyAlignment="1">
      <alignment horizontal="center" vertical="center" wrapText="1"/>
    </xf>
    <xf numFmtId="167" fontId="70" fillId="0" borderId="28" xfId="132" quotePrefix="1" applyNumberFormat="1" applyFont="1" applyBorder="1" applyAlignment="1">
      <alignment horizontal="center" vertical="center" wrapText="1"/>
    </xf>
    <xf numFmtId="0" fontId="70" fillId="0" borderId="28" xfId="132" applyFont="1" applyBorder="1" applyAlignment="1">
      <alignment horizontal="left" vertical="center" indent="1"/>
    </xf>
    <xf numFmtId="0" fontId="49" fillId="0" borderId="28" xfId="133" applyFont="1" applyBorder="1" applyAlignment="1">
      <alignment horizontal="left" vertical="center" wrapText="1" indent="1"/>
    </xf>
    <xf numFmtId="167" fontId="49" fillId="0" borderId="28" xfId="132" applyNumberFormat="1" applyFont="1" applyBorder="1" applyAlignment="1">
      <alignment horizontal="center" vertical="center"/>
    </xf>
    <xf numFmtId="167" fontId="49" fillId="0" borderId="28" xfId="132" applyNumberFormat="1" applyFont="1" applyBorder="1" applyAlignment="1">
      <alignment horizontal="left" vertical="center" wrapText="1" indent="1"/>
    </xf>
    <xf numFmtId="0" fontId="49" fillId="0" borderId="28" xfId="132" applyFont="1" applyBorder="1" applyAlignment="1">
      <alignment horizontal="left" vertical="center" indent="1"/>
    </xf>
    <xf numFmtId="0" fontId="49" fillId="0" borderId="43" xfId="132" applyFont="1" applyBorder="1" applyAlignment="1">
      <alignment horizontal="left" vertical="center" wrapText="1" indent="1"/>
    </xf>
    <xf numFmtId="49" fontId="49" fillId="0" borderId="28" xfId="132" applyNumberFormat="1" applyFont="1" applyBorder="1" applyAlignment="1">
      <alignment horizontal="center" vertical="center" wrapText="1"/>
    </xf>
    <xf numFmtId="49" fontId="49" fillId="0" borderId="43" xfId="132" applyNumberFormat="1" applyFont="1" applyBorder="1" applyAlignment="1">
      <alignment horizontal="center" vertical="center" wrapText="1"/>
    </xf>
    <xf numFmtId="0" fontId="49" fillId="0" borderId="28" xfId="74" applyFont="1" applyBorder="1" applyAlignment="1">
      <alignment horizontal="left" vertical="center" wrapText="1" indent="1"/>
    </xf>
    <xf numFmtId="167" fontId="49" fillId="0" borderId="28" xfId="74" applyNumberFormat="1" applyFont="1" applyBorder="1" applyAlignment="1">
      <alignment horizontal="center" vertical="center" wrapText="1"/>
    </xf>
    <xf numFmtId="0" fontId="72" fillId="0" borderId="0" xfId="132" applyFont="1"/>
    <xf numFmtId="0" fontId="49" fillId="0" borderId="28" xfId="73" applyFont="1" applyBorder="1" applyAlignment="1">
      <alignment horizontal="left" vertical="center" wrapText="1" indent="1"/>
    </xf>
    <xf numFmtId="0" fontId="49" fillId="0" borderId="29" xfId="132" applyFont="1" applyBorder="1" applyAlignment="1">
      <alignment horizontal="right" vertical="center" wrapText="1"/>
    </xf>
    <xf numFmtId="49" fontId="49" fillId="0" borderId="28" xfId="132" quotePrefix="1" applyNumberFormat="1" applyFont="1" applyBorder="1" applyAlignment="1">
      <alignment horizontal="center" vertical="center" wrapText="1"/>
    </xf>
    <xf numFmtId="0" fontId="49" fillId="0" borderId="29" xfId="132" quotePrefix="1" applyFont="1" applyBorder="1" applyAlignment="1">
      <alignment horizontal="center" vertical="center" wrapText="1"/>
    </xf>
    <xf numFmtId="49" fontId="49" fillId="0" borderId="29" xfId="132" quotePrefix="1" applyNumberFormat="1" applyFont="1" applyBorder="1" applyAlignment="1">
      <alignment horizontal="center" vertical="center"/>
    </xf>
    <xf numFmtId="0" fontId="49" fillId="0" borderId="29" xfId="132" applyFont="1" applyBorder="1" applyAlignment="1">
      <alignment horizontal="center" vertical="center" wrapText="1"/>
    </xf>
    <xf numFmtId="1" fontId="49" fillId="0" borderId="28" xfId="132" applyNumberFormat="1" applyFont="1" applyBorder="1" applyAlignment="1">
      <alignment horizontal="left" vertical="center" wrapText="1" indent="1"/>
    </xf>
    <xf numFmtId="0" fontId="70" fillId="0" borderId="39" xfId="132" applyFont="1" applyBorder="1" applyAlignment="1">
      <alignment horizontal="left" vertical="center" wrapText="1" indent="1"/>
    </xf>
    <xf numFmtId="167" fontId="70" fillId="0" borderId="39" xfId="132" applyNumberFormat="1" applyFont="1" applyBorder="1" applyAlignment="1">
      <alignment horizontal="center" vertical="center" wrapText="1"/>
    </xf>
    <xf numFmtId="49" fontId="70" fillId="0" borderId="40" xfId="132" applyNumberFormat="1" applyFont="1" applyBorder="1" applyAlignment="1">
      <alignment horizontal="center" vertical="center"/>
    </xf>
    <xf numFmtId="0" fontId="22" fillId="0" borderId="0" xfId="132" applyAlignment="1">
      <alignment horizontal="center" vertical="center"/>
    </xf>
    <xf numFmtId="0" fontId="22" fillId="0" borderId="0" xfId="132" applyAlignment="1">
      <alignment vertical="center"/>
    </xf>
    <xf numFmtId="0" fontId="22" fillId="0" borderId="0" xfId="132" applyAlignment="1">
      <alignment horizontal="left" vertical="center" indent="1"/>
    </xf>
    <xf numFmtId="0" fontId="22" fillId="0" borderId="5" xfId="132" applyBorder="1" applyAlignment="1">
      <alignment horizontal="center" vertical="center"/>
    </xf>
    <xf numFmtId="0" fontId="54" fillId="17" borderId="0" xfId="4" applyFont="1" applyFill="1" applyAlignment="1">
      <alignment horizontal="center" vertical="center" wrapText="1"/>
    </xf>
    <xf numFmtId="0" fontId="7" fillId="0" borderId="3" xfId="4" quotePrefix="1" applyFont="1" applyBorder="1" applyAlignment="1">
      <alignment horizontal="left" vertical="center" wrapText="1"/>
    </xf>
    <xf numFmtId="0" fontId="6" fillId="0" borderId="0" xfId="4" applyFont="1" applyAlignment="1">
      <alignment horizontal="center" vertical="center" wrapText="1"/>
    </xf>
    <xf numFmtId="0" fontId="52" fillId="0" borderId="0" xfId="2" applyFont="1" applyAlignment="1">
      <alignment horizontal="center" vertical="center" wrapText="1"/>
    </xf>
    <xf numFmtId="0" fontId="6" fillId="0" borderId="33" xfId="2" applyFont="1" applyBorder="1" applyAlignment="1">
      <alignment horizontal="center"/>
    </xf>
    <xf numFmtId="0" fontId="73" fillId="0" borderId="0" xfId="0" applyFont="1"/>
    <xf numFmtId="0" fontId="30" fillId="12" borderId="0" xfId="11" quotePrefix="1" applyNumberFormat="1" applyFont="1" applyFill="1" applyBorder="1" applyProtection="1">
      <alignment horizontal="left" vertical="center" indent="1" justifyLastLine="1"/>
    </xf>
    <xf numFmtId="0" fontId="52" fillId="0" borderId="0" xfId="2" applyFont="1" applyAlignment="1">
      <alignment vertical="center" wrapText="1"/>
    </xf>
    <xf numFmtId="0" fontId="0" fillId="0" borderId="0" xfId="0" applyAlignment="1">
      <alignment wrapText="1"/>
    </xf>
    <xf numFmtId="0" fontId="11" fillId="0" borderId="5" xfId="6" applyFont="1" applyBorder="1" applyAlignment="1">
      <alignment horizontal="right" vertical="center" wrapText="1"/>
    </xf>
    <xf numFmtId="0" fontId="20" fillId="13" borderId="5" xfId="6" applyFont="1" applyFill="1" applyBorder="1" applyAlignment="1">
      <alignment horizontal="center" vertical="center" wrapText="1"/>
    </xf>
    <xf numFmtId="0" fontId="16" fillId="12" borderId="4" xfId="2" applyFont="1" applyFill="1" applyBorder="1" applyAlignment="1">
      <alignment horizontal="right" vertical="center" wrapText="1"/>
    </xf>
    <xf numFmtId="0" fontId="20" fillId="13" borderId="5" xfId="6" applyFont="1" applyFill="1" applyBorder="1" applyAlignment="1">
      <alignment horizontal="right" vertical="center" wrapText="1"/>
    </xf>
    <xf numFmtId="0" fontId="13" fillId="0" borderId="1" xfId="119" quotePrefix="1" applyNumberFormat="1" applyFill="1">
      <alignment horizontal="left" vertical="center" indent="1"/>
    </xf>
    <xf numFmtId="0" fontId="13" fillId="0" borderId="1" xfId="125" quotePrefix="1" applyNumberFormat="1" applyFill="1">
      <alignment horizontal="left" vertical="center" indent="1"/>
    </xf>
    <xf numFmtId="49" fontId="0" fillId="0" borderId="0" xfId="0" applyNumberFormat="1"/>
    <xf numFmtId="49" fontId="13" fillId="0" borderId="1" xfId="119" quotePrefix="1" applyNumberFormat="1" applyFill="1">
      <alignment horizontal="left" vertical="center" indent="1"/>
    </xf>
    <xf numFmtId="49" fontId="13" fillId="0" borderId="1" xfId="125" quotePrefix="1" applyNumberFormat="1" applyFill="1">
      <alignment horizontal="left" vertical="center" indent="1"/>
    </xf>
    <xf numFmtId="0" fontId="75" fillId="0" borderId="1" xfId="19" quotePrefix="1" applyNumberFormat="1" applyFont="1" applyFill="1" applyAlignment="1" applyProtection="1">
      <alignment horizontal="center" vertical="center" justifyLastLine="1"/>
      <protection locked="0"/>
    </xf>
    <xf numFmtId="0" fontId="24" fillId="0" borderId="1" xfId="18" applyNumberFormat="1" applyFont="1" applyAlignment="1" applyProtection="1">
      <alignment horizontal="left" vertical="center"/>
      <protection locked="0"/>
    </xf>
    <xf numFmtId="1" fontId="76" fillId="0" borderId="28" xfId="0" applyNumberFormat="1" applyFont="1" applyBorder="1" applyAlignment="1">
      <alignment horizontal="right" vertical="center"/>
    </xf>
    <xf numFmtId="0" fontId="76" fillId="0" borderId="28" xfId="0" applyFont="1" applyBorder="1" applyAlignment="1">
      <alignment horizontal="left" vertical="center"/>
    </xf>
    <xf numFmtId="0" fontId="76" fillId="52" borderId="28" xfId="2" applyFont="1" applyFill="1" applyBorder="1" applyAlignment="1">
      <alignment horizontal="left" vertical="center"/>
    </xf>
    <xf numFmtId="167" fontId="76" fillId="0" borderId="28" xfId="0" applyNumberFormat="1" applyFont="1" applyBorder="1" applyAlignment="1">
      <alignment horizontal="center" vertical="center"/>
    </xf>
    <xf numFmtId="49" fontId="76" fillId="0" borderId="29" xfId="0" applyNumberFormat="1" applyFont="1" applyBorder="1" applyAlignment="1">
      <alignment horizontal="center" vertical="center"/>
    </xf>
    <xf numFmtId="0" fontId="31" fillId="20" borderId="5" xfId="2" applyFont="1" applyFill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6" fillId="72" borderId="4" xfId="2" applyNumberFormat="1" applyFont="1" applyFill="1" applyBorder="1" applyAlignment="1">
      <alignment horizontal="center" vertical="center" wrapText="1"/>
    </xf>
    <xf numFmtId="0" fontId="77" fillId="0" borderId="1" xfId="119" quotePrefix="1" applyNumberFormat="1" applyFont="1" applyFill="1">
      <alignment horizontal="left" vertical="center" indent="1"/>
    </xf>
    <xf numFmtId="0" fontId="77" fillId="0" borderId="1" xfId="125" quotePrefix="1" applyNumberFormat="1" applyFont="1" applyFill="1">
      <alignment horizontal="left" vertical="center" indent="1"/>
    </xf>
    <xf numFmtId="3" fontId="11" fillId="0" borderId="5" xfId="6" applyNumberFormat="1" applyFont="1" applyBorder="1" applyAlignment="1">
      <alignment horizontal="right" vertical="center" wrapText="1"/>
    </xf>
    <xf numFmtId="3" fontId="20" fillId="13" borderId="5" xfId="6" applyNumberFormat="1" applyFont="1" applyFill="1" applyBorder="1" applyAlignment="1">
      <alignment horizontal="right" vertical="center" wrapText="1"/>
    </xf>
    <xf numFmtId="3" fontId="31" fillId="20" borderId="5" xfId="2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78" fillId="0" borderId="0" xfId="0" applyFont="1" applyAlignment="1">
      <alignment horizontal="right"/>
    </xf>
    <xf numFmtId="3" fontId="20" fillId="13" borderId="5" xfId="6" applyNumberFormat="1" applyFont="1" applyFill="1" applyBorder="1" applyAlignment="1">
      <alignment vertical="center" wrapText="1"/>
    </xf>
    <xf numFmtId="0" fontId="9" fillId="73" borderId="4" xfId="4" applyFont="1" applyFill="1" applyBorder="1" applyAlignment="1">
      <alignment horizontal="center" vertical="center" wrapText="1"/>
    </xf>
    <xf numFmtId="1" fontId="18" fillId="15" borderId="5" xfId="2" applyNumberFormat="1" applyFont="1" applyFill="1" applyBorder="1" applyAlignment="1">
      <alignment horizontal="center" vertical="center"/>
    </xf>
    <xf numFmtId="1" fontId="18" fillId="0" borderId="5" xfId="2" applyNumberFormat="1" applyFont="1" applyBorder="1" applyAlignment="1">
      <alignment horizontal="center" vertical="center"/>
    </xf>
    <xf numFmtId="1" fontId="20" fillId="14" borderId="5" xfId="2" applyNumberFormat="1" applyFont="1" applyFill="1" applyBorder="1" applyAlignment="1">
      <alignment horizontal="left" vertical="center"/>
    </xf>
    <xf numFmtId="1" fontId="14" fillId="0" borderId="0" xfId="2" applyNumberFormat="1"/>
    <xf numFmtId="0" fontId="74" fillId="54" borderId="5" xfId="2" applyFont="1" applyFill="1" applyBorder="1" applyAlignment="1">
      <alignment vertical="center" wrapText="1"/>
    </xf>
    <xf numFmtId="1" fontId="74" fillId="54" borderId="5" xfId="2" applyNumberFormat="1" applyFont="1" applyFill="1" applyBorder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2" fillId="0" borderId="21" xfId="4" applyFont="1" applyBorder="1" applyAlignment="1" applyProtection="1">
      <alignment horizontal="center" vertical="center" wrapText="1"/>
      <protection locked="0"/>
    </xf>
    <xf numFmtId="0" fontId="2" fillId="0" borderId="22" xfId="4" applyFont="1" applyBorder="1" applyAlignment="1" applyProtection="1">
      <alignment horizontal="center" vertical="center" wrapText="1"/>
      <protection locked="0"/>
    </xf>
    <xf numFmtId="0" fontId="2" fillId="0" borderId="23" xfId="4" applyFont="1" applyBorder="1" applyAlignment="1" applyProtection="1">
      <alignment horizontal="center" vertical="center" wrapText="1"/>
      <protection locked="0"/>
    </xf>
    <xf numFmtId="0" fontId="32" fillId="0" borderId="24" xfId="4" applyFont="1" applyBorder="1" applyAlignment="1" applyProtection="1">
      <alignment horizontal="left" vertical="center" wrapText="1"/>
      <protection locked="0"/>
    </xf>
    <xf numFmtId="0" fontId="32" fillId="0" borderId="19" xfId="4" applyFont="1" applyBorder="1" applyAlignment="1" applyProtection="1">
      <alignment horizontal="left" vertical="center" wrapText="1"/>
      <protection locked="0"/>
    </xf>
    <xf numFmtId="0" fontId="32" fillId="0" borderId="25" xfId="4" applyFont="1" applyBorder="1" applyAlignment="1" applyProtection="1">
      <alignment horizontal="left" vertical="center" wrapText="1"/>
      <protection locked="0"/>
    </xf>
    <xf numFmtId="0" fontId="80" fillId="0" borderId="24" xfId="134" applyBorder="1" applyAlignment="1" applyProtection="1">
      <alignment horizontal="left" vertical="center" wrapText="1"/>
      <protection locked="0"/>
    </xf>
    <xf numFmtId="0" fontId="80" fillId="0" borderId="19" xfId="134" applyBorder="1" applyAlignment="1" applyProtection="1">
      <alignment horizontal="left" vertical="center" wrapText="1"/>
      <protection locked="0"/>
    </xf>
    <xf numFmtId="0" fontId="80" fillId="0" borderId="25" xfId="134" applyBorder="1" applyAlignment="1" applyProtection="1">
      <alignment horizontal="left" vertical="center" wrapText="1"/>
      <protection locked="0"/>
    </xf>
    <xf numFmtId="0" fontId="52" fillId="0" borderId="0" xfId="2" applyFont="1" applyAlignment="1">
      <alignment horizontal="center" vertical="center" wrapText="1"/>
    </xf>
    <xf numFmtId="1" fontId="16" fillId="12" borderId="10" xfId="2" applyNumberFormat="1" applyFont="1" applyFill="1" applyBorder="1" applyAlignment="1">
      <alignment horizontal="center" vertical="center" wrapText="1"/>
    </xf>
    <xf numFmtId="1" fontId="16" fillId="12" borderId="12" xfId="2" applyNumberFormat="1" applyFont="1" applyFill="1" applyBorder="1" applyAlignment="1">
      <alignment horizontal="center" vertical="center" wrapText="1"/>
    </xf>
    <xf numFmtId="0" fontId="79" fillId="54" borderId="10" xfId="2" applyFont="1" applyFill="1" applyBorder="1" applyAlignment="1">
      <alignment horizontal="center" vertical="center"/>
    </xf>
    <xf numFmtId="0" fontId="79" fillId="54" borderId="13" xfId="2" applyFont="1" applyFill="1" applyBorder="1" applyAlignment="1">
      <alignment horizontal="center" vertical="center"/>
    </xf>
    <xf numFmtId="0" fontId="79" fillId="54" borderId="12" xfId="2" applyFont="1" applyFill="1" applyBorder="1" applyAlignment="1">
      <alignment horizontal="center" vertical="center"/>
    </xf>
    <xf numFmtId="0" fontId="26" fillId="0" borderId="34" xfId="132" applyFont="1" applyBorder="1" applyAlignment="1">
      <alignment horizontal="center" vertical="center"/>
    </xf>
    <xf numFmtId="0" fontId="49" fillId="0" borderId="44" xfId="132" applyFont="1" applyBorder="1" applyAlignment="1">
      <alignment horizontal="left" vertical="center" wrapText="1"/>
    </xf>
    <xf numFmtId="0" fontId="3" fillId="0" borderId="0" xfId="4" applyFont="1" applyAlignment="1"/>
    <xf numFmtId="0" fontId="50" fillId="0" borderId="16" xfId="0" applyFont="1" applyBorder="1" applyAlignment="1"/>
    <xf numFmtId="0" fontId="50" fillId="0" borderId="0" xfId="0" applyFont="1" applyAlignment="1"/>
  </cellXfs>
  <cellStyles count="135">
    <cellStyle name="Accent1 - 20%" xfId="21" xr:uid="{00000000-0005-0000-0000-000000000000}"/>
    <cellStyle name="Accent1 - 40%" xfId="22" xr:uid="{00000000-0005-0000-0000-000001000000}"/>
    <cellStyle name="Accent1 - 60%" xfId="23" xr:uid="{00000000-0005-0000-0000-000002000000}"/>
    <cellStyle name="Accent2 - 20%" xfId="24" xr:uid="{00000000-0005-0000-0000-000003000000}"/>
    <cellStyle name="Accent2 - 40%" xfId="25" xr:uid="{00000000-0005-0000-0000-000004000000}"/>
    <cellStyle name="Accent2 - 60%" xfId="26" xr:uid="{00000000-0005-0000-0000-000005000000}"/>
    <cellStyle name="Accent3 - 20%" xfId="27" xr:uid="{00000000-0005-0000-0000-000006000000}"/>
    <cellStyle name="Accent3 - 40%" xfId="28" xr:uid="{00000000-0005-0000-0000-000007000000}"/>
    <cellStyle name="Accent3 - 60%" xfId="29" xr:uid="{00000000-0005-0000-0000-000008000000}"/>
    <cellStyle name="Accent4 - 20%" xfId="30" xr:uid="{00000000-0005-0000-0000-000009000000}"/>
    <cellStyle name="Accent4 - 40%" xfId="31" xr:uid="{00000000-0005-0000-0000-00000A000000}"/>
    <cellStyle name="Accent4 - 60%" xfId="32" xr:uid="{00000000-0005-0000-0000-00000B000000}"/>
    <cellStyle name="Accent5 - 20%" xfId="33" xr:uid="{00000000-0005-0000-0000-00000C000000}"/>
    <cellStyle name="Accent5 - 40%" xfId="34" xr:uid="{00000000-0005-0000-0000-00000D000000}"/>
    <cellStyle name="Accent5 - 60%" xfId="35" xr:uid="{00000000-0005-0000-0000-00000E000000}"/>
    <cellStyle name="Accent6 - 20%" xfId="36" xr:uid="{00000000-0005-0000-0000-00000F000000}"/>
    <cellStyle name="Accent6 - 40%" xfId="37" xr:uid="{00000000-0005-0000-0000-000010000000}"/>
    <cellStyle name="Accent6 - 60%" xfId="38" xr:uid="{00000000-0005-0000-0000-000011000000}"/>
    <cellStyle name="Comma 2" xfId="1" xr:uid="{00000000-0005-0000-0000-000012000000}"/>
    <cellStyle name="Emphasis 1" xfId="39" xr:uid="{00000000-0005-0000-0000-000013000000}"/>
    <cellStyle name="Emphasis 2" xfId="40" xr:uid="{00000000-0005-0000-0000-000014000000}"/>
    <cellStyle name="Emphasis 3" xfId="41" xr:uid="{00000000-0005-0000-0000-000015000000}"/>
    <cellStyle name="Hyperlink" xfId="134" xr:uid="{00000000-000B-0000-0000-000008000000}"/>
    <cellStyle name="Naslov 1" xfId="76" xr:uid="{00000000-0005-0000-0000-000016000000}"/>
    <cellStyle name="Normal 2" xfId="2" xr:uid="{00000000-0005-0000-0000-000018000000}"/>
    <cellStyle name="Normal 2 2" xfId="117" xr:uid="{00000000-0005-0000-0000-000019000000}"/>
    <cellStyle name="Normal 2 3" xfId="132" xr:uid="{00000000-0005-0000-0000-00001A000000}"/>
    <cellStyle name="Normal 3" xfId="20" xr:uid="{00000000-0005-0000-0000-00001B000000}"/>
    <cellStyle name="Normal 3 3" xfId="3" xr:uid="{00000000-0005-0000-0000-00001C000000}"/>
    <cellStyle name="Normal 4" xfId="77" xr:uid="{00000000-0005-0000-0000-00001D000000}"/>
    <cellStyle name="Normal 6" xfId="4" xr:uid="{00000000-0005-0000-0000-00001E000000}"/>
    <cellStyle name="Normalno" xfId="0" builtinId="0"/>
    <cellStyle name="Obično_01_ZAGREBAČKA ŽUPANIJA" xfId="73" xr:uid="{00000000-0005-0000-0000-00001F000000}"/>
    <cellStyle name="Obično_14_OSJEČKO-BARANJSKA ŽUPANIJA" xfId="74" xr:uid="{00000000-0005-0000-0000-000020000000}"/>
    <cellStyle name="Obično_21_GRAD ZAGREB" xfId="133" xr:uid="{00000000-0005-0000-0000-000021000000}"/>
    <cellStyle name="Obično_List4" xfId="5" xr:uid="{00000000-0005-0000-0000-000022000000}"/>
    <cellStyle name="Obično_List7" xfId="6" xr:uid="{00000000-0005-0000-0000-000023000000}"/>
    <cellStyle name="Obično_List8" xfId="7" xr:uid="{00000000-0005-0000-0000-000024000000}"/>
    <cellStyle name="Obično_List9" xfId="8" xr:uid="{00000000-0005-0000-0000-000025000000}"/>
    <cellStyle name="SAPBEXaggData" xfId="9" xr:uid="{00000000-0005-0000-0000-000026000000}"/>
    <cellStyle name="SAPBEXaggData 2" xfId="78" xr:uid="{00000000-0005-0000-0000-000027000000}"/>
    <cellStyle name="SAPBEXaggDataEmph" xfId="42" xr:uid="{00000000-0005-0000-0000-000028000000}"/>
    <cellStyle name="SAPBEXaggDataEmph 2" xfId="79" xr:uid="{00000000-0005-0000-0000-000029000000}"/>
    <cellStyle name="SAPBEXaggItem" xfId="10" xr:uid="{00000000-0005-0000-0000-00002A000000}"/>
    <cellStyle name="SAPBEXaggItem 2" xfId="80" xr:uid="{00000000-0005-0000-0000-00002B000000}"/>
    <cellStyle name="SAPBEXaggItem 3" xfId="118" xr:uid="{00000000-0005-0000-0000-00002C000000}"/>
    <cellStyle name="SAPBEXaggItemX" xfId="43" xr:uid="{00000000-0005-0000-0000-00002D000000}"/>
    <cellStyle name="SAPBEXaggItemX 2" xfId="81" xr:uid="{00000000-0005-0000-0000-00002E000000}"/>
    <cellStyle name="SAPBEXchaText" xfId="11" xr:uid="{00000000-0005-0000-0000-00002F000000}"/>
    <cellStyle name="SAPBEXchaText 2" xfId="82" xr:uid="{00000000-0005-0000-0000-000030000000}"/>
    <cellStyle name="SAPBEXchaText 3" xfId="119" xr:uid="{00000000-0005-0000-0000-000031000000}"/>
    <cellStyle name="SAPBEXexcBad7" xfId="44" xr:uid="{00000000-0005-0000-0000-000032000000}"/>
    <cellStyle name="SAPBEXexcBad7 2" xfId="83" xr:uid="{00000000-0005-0000-0000-000033000000}"/>
    <cellStyle name="SAPBEXexcBad8" xfId="45" xr:uid="{00000000-0005-0000-0000-000034000000}"/>
    <cellStyle name="SAPBEXexcBad8 2" xfId="84" xr:uid="{00000000-0005-0000-0000-000035000000}"/>
    <cellStyle name="SAPBEXexcBad9" xfId="46" xr:uid="{00000000-0005-0000-0000-000036000000}"/>
    <cellStyle name="SAPBEXexcBad9 2" xfId="85" xr:uid="{00000000-0005-0000-0000-000037000000}"/>
    <cellStyle name="SAPBEXexcCritical4" xfId="47" xr:uid="{00000000-0005-0000-0000-000038000000}"/>
    <cellStyle name="SAPBEXexcCritical4 2" xfId="86" xr:uid="{00000000-0005-0000-0000-000039000000}"/>
    <cellStyle name="SAPBEXexcCritical5" xfId="48" xr:uid="{00000000-0005-0000-0000-00003A000000}"/>
    <cellStyle name="SAPBEXexcCritical5 2" xfId="87" xr:uid="{00000000-0005-0000-0000-00003B000000}"/>
    <cellStyle name="SAPBEXexcCritical6" xfId="49" xr:uid="{00000000-0005-0000-0000-00003C000000}"/>
    <cellStyle name="SAPBEXexcCritical6 2" xfId="88" xr:uid="{00000000-0005-0000-0000-00003D000000}"/>
    <cellStyle name="SAPBEXexcGood1" xfId="50" xr:uid="{00000000-0005-0000-0000-00003E000000}"/>
    <cellStyle name="SAPBEXexcGood1 2" xfId="89" xr:uid="{00000000-0005-0000-0000-00003F000000}"/>
    <cellStyle name="SAPBEXexcGood2" xfId="51" xr:uid="{00000000-0005-0000-0000-000040000000}"/>
    <cellStyle name="SAPBEXexcGood2 2" xfId="90" xr:uid="{00000000-0005-0000-0000-000041000000}"/>
    <cellStyle name="SAPBEXexcGood3" xfId="52" xr:uid="{00000000-0005-0000-0000-000042000000}"/>
    <cellStyle name="SAPBEXexcGood3 2" xfId="91" xr:uid="{00000000-0005-0000-0000-000043000000}"/>
    <cellStyle name="SAPBEXfilterDrill" xfId="53" xr:uid="{00000000-0005-0000-0000-000044000000}"/>
    <cellStyle name="SAPBEXfilterDrill 2" xfId="92" xr:uid="{00000000-0005-0000-0000-000045000000}"/>
    <cellStyle name="SAPBEXfilterDrill 3" xfId="120" xr:uid="{00000000-0005-0000-0000-000046000000}"/>
    <cellStyle name="SAPBEXfilterItem" xfId="54" xr:uid="{00000000-0005-0000-0000-000047000000}"/>
    <cellStyle name="SAPBEXfilterItem 2" xfId="93" xr:uid="{00000000-0005-0000-0000-000048000000}"/>
    <cellStyle name="SAPBEXfilterItem 3" xfId="121" xr:uid="{00000000-0005-0000-0000-000049000000}"/>
    <cellStyle name="SAPBEXfilterText" xfId="55" xr:uid="{00000000-0005-0000-0000-00004A000000}"/>
    <cellStyle name="SAPBEXfilterText 2" xfId="94" xr:uid="{00000000-0005-0000-0000-00004B000000}"/>
    <cellStyle name="SAPBEXfilterText 3" xfId="122" xr:uid="{00000000-0005-0000-0000-00004C000000}"/>
    <cellStyle name="SAPBEXformats" xfId="12" xr:uid="{00000000-0005-0000-0000-00004D000000}"/>
    <cellStyle name="SAPBEXformats 2" xfId="95" xr:uid="{00000000-0005-0000-0000-00004E000000}"/>
    <cellStyle name="SAPBEXheaderItem" xfId="56" xr:uid="{00000000-0005-0000-0000-00004F000000}"/>
    <cellStyle name="SAPBEXheaderItem 2" xfId="96" xr:uid="{00000000-0005-0000-0000-000050000000}"/>
    <cellStyle name="SAPBEXheaderItem 3" xfId="127" xr:uid="{00000000-0005-0000-0000-000051000000}"/>
    <cellStyle name="SAPBEXheaderText" xfId="57" xr:uid="{00000000-0005-0000-0000-000052000000}"/>
    <cellStyle name="SAPBEXheaderText 2" xfId="97" xr:uid="{00000000-0005-0000-0000-000053000000}"/>
    <cellStyle name="SAPBEXheaderText 3" xfId="128" xr:uid="{00000000-0005-0000-0000-000054000000}"/>
    <cellStyle name="SAPBEXHLevel0" xfId="13" xr:uid="{00000000-0005-0000-0000-000055000000}"/>
    <cellStyle name="SAPBEXHLevel0 2" xfId="75" xr:uid="{00000000-0005-0000-0000-000056000000}"/>
    <cellStyle name="SAPBEXHLevel0 3" xfId="98" xr:uid="{00000000-0005-0000-0000-000057000000}"/>
    <cellStyle name="SAPBEXHLevel0X" xfId="58" xr:uid="{00000000-0005-0000-0000-000058000000}"/>
    <cellStyle name="SAPBEXHLevel0X 2" xfId="99" xr:uid="{00000000-0005-0000-0000-000059000000}"/>
    <cellStyle name="SAPBEXHLevel1" xfId="14" xr:uid="{00000000-0005-0000-0000-00005A000000}"/>
    <cellStyle name="SAPBEXHLevel1 2" xfId="100" xr:uid="{00000000-0005-0000-0000-00005B000000}"/>
    <cellStyle name="SAPBEXHLevel1 3" xfId="129" xr:uid="{00000000-0005-0000-0000-00005C000000}"/>
    <cellStyle name="SAPBEXHLevel1X" xfId="59" xr:uid="{00000000-0005-0000-0000-00005D000000}"/>
    <cellStyle name="SAPBEXHLevel1X 2" xfId="101" xr:uid="{00000000-0005-0000-0000-00005E000000}"/>
    <cellStyle name="SAPBEXHLevel2" xfId="15" xr:uid="{00000000-0005-0000-0000-00005F000000}"/>
    <cellStyle name="SAPBEXHLevel2 2" xfId="102" xr:uid="{00000000-0005-0000-0000-000060000000}"/>
    <cellStyle name="SAPBEXHLevel2 3" xfId="130" xr:uid="{00000000-0005-0000-0000-000061000000}"/>
    <cellStyle name="SAPBEXHLevel2X" xfId="60" xr:uid="{00000000-0005-0000-0000-000062000000}"/>
    <cellStyle name="SAPBEXHLevel2X 2" xfId="103" xr:uid="{00000000-0005-0000-0000-000063000000}"/>
    <cellStyle name="SAPBEXHLevel3" xfId="16" xr:uid="{00000000-0005-0000-0000-000064000000}"/>
    <cellStyle name="SAPBEXHLevel3 2" xfId="104" xr:uid="{00000000-0005-0000-0000-000065000000}"/>
    <cellStyle name="SAPBEXHLevel3 3" xfId="123" xr:uid="{00000000-0005-0000-0000-000066000000}"/>
    <cellStyle name="SAPBEXHLevel3X" xfId="61" xr:uid="{00000000-0005-0000-0000-000067000000}"/>
    <cellStyle name="SAPBEXHLevel3X 2" xfId="105" xr:uid="{00000000-0005-0000-0000-000068000000}"/>
    <cellStyle name="SAPBEXinputData" xfId="62" xr:uid="{00000000-0005-0000-0000-000069000000}"/>
    <cellStyle name="SAPBEXinputData 2" xfId="106" xr:uid="{00000000-0005-0000-0000-00006A000000}"/>
    <cellStyle name="SAPBEXItemHeader" xfId="17" xr:uid="{00000000-0005-0000-0000-00006B000000}"/>
    <cellStyle name="SAPBEXresData" xfId="63" xr:uid="{00000000-0005-0000-0000-00006C000000}"/>
    <cellStyle name="SAPBEXresData 2" xfId="107" xr:uid="{00000000-0005-0000-0000-00006D000000}"/>
    <cellStyle name="SAPBEXresDataEmph" xfId="64" xr:uid="{00000000-0005-0000-0000-00006E000000}"/>
    <cellStyle name="SAPBEXresDataEmph 2" xfId="108" xr:uid="{00000000-0005-0000-0000-00006F000000}"/>
    <cellStyle name="SAPBEXresDataEmph 3" xfId="124" xr:uid="{00000000-0005-0000-0000-000070000000}"/>
    <cellStyle name="SAPBEXresItem" xfId="65" xr:uid="{00000000-0005-0000-0000-000071000000}"/>
    <cellStyle name="SAPBEXresItem 2" xfId="109" xr:uid="{00000000-0005-0000-0000-000072000000}"/>
    <cellStyle name="SAPBEXresItemX" xfId="66" xr:uid="{00000000-0005-0000-0000-000073000000}"/>
    <cellStyle name="SAPBEXresItemX 2" xfId="110" xr:uid="{00000000-0005-0000-0000-000074000000}"/>
    <cellStyle name="SAPBEXstdData" xfId="18" xr:uid="{00000000-0005-0000-0000-000075000000}"/>
    <cellStyle name="SAPBEXstdData 2" xfId="111" xr:uid="{00000000-0005-0000-0000-000076000000}"/>
    <cellStyle name="SAPBEXstdDataEmph" xfId="67" xr:uid="{00000000-0005-0000-0000-000077000000}"/>
    <cellStyle name="SAPBEXstdDataEmph 2" xfId="112" xr:uid="{00000000-0005-0000-0000-000078000000}"/>
    <cellStyle name="SAPBEXstdItem" xfId="19" xr:uid="{00000000-0005-0000-0000-000079000000}"/>
    <cellStyle name="SAPBEXstdItem 2" xfId="113" xr:uid="{00000000-0005-0000-0000-00007A000000}"/>
    <cellStyle name="SAPBEXstdItem 3" xfId="125" xr:uid="{00000000-0005-0000-0000-00007B000000}"/>
    <cellStyle name="SAPBEXstdItemX" xfId="68" xr:uid="{00000000-0005-0000-0000-00007C000000}"/>
    <cellStyle name="SAPBEXstdItemX 2" xfId="114" xr:uid="{00000000-0005-0000-0000-00007D000000}"/>
    <cellStyle name="SAPBEXtitle" xfId="69" xr:uid="{00000000-0005-0000-0000-00007E000000}"/>
    <cellStyle name="SAPBEXtitle 2" xfId="115" xr:uid="{00000000-0005-0000-0000-00007F000000}"/>
    <cellStyle name="SAPBEXtitle 3" xfId="126" xr:uid="{00000000-0005-0000-0000-000080000000}"/>
    <cellStyle name="SAPBEXunassignedItem" xfId="70" xr:uid="{00000000-0005-0000-0000-000081000000}"/>
    <cellStyle name="SAPBEXunassignedItem 2" xfId="131" xr:uid="{00000000-0005-0000-0000-000082000000}"/>
    <cellStyle name="SAPBEXundefined" xfId="71" xr:uid="{00000000-0005-0000-0000-000083000000}"/>
    <cellStyle name="SAPBEXundefined 2" xfId="116" xr:uid="{00000000-0005-0000-0000-000084000000}"/>
    <cellStyle name="Sheet Title" xfId="72" xr:uid="{00000000-0005-0000-0000-000085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1085850</xdr:colOff>
      <xdr:row>7</xdr:row>
      <xdr:rowOff>0</xdr:rowOff>
    </xdr:to>
    <xdr:sp macro="" textlink="">
      <xdr:nvSpPr>
        <xdr:cNvPr id="13314" name="Line 2">
          <a:extLst>
            <a:ext uri="{FF2B5EF4-FFF2-40B4-BE49-F238E27FC236}">
              <a16:creationId xmlns:a16="http://schemas.microsoft.com/office/drawing/2014/main" id="{00000000-0008-0000-0400-00000234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315" name="Line 1">
          <a:extLst>
            <a:ext uri="{FF2B5EF4-FFF2-40B4-BE49-F238E27FC236}">
              <a16:creationId xmlns:a16="http://schemas.microsoft.com/office/drawing/2014/main" id="{00000000-0008-0000-0400-00000334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13321" name="Line 1">
          <a:extLst>
            <a:ext uri="{FF2B5EF4-FFF2-40B4-BE49-F238E27FC236}">
              <a16:creationId xmlns:a16="http://schemas.microsoft.com/office/drawing/2014/main" id="{00000000-0008-0000-0400-000009340000}"/>
            </a:ext>
          </a:extLst>
        </xdr:cNvPr>
        <xdr:cNvSpPr>
          <a:spLocks noChangeShapeType="1"/>
        </xdr:cNvSpPr>
      </xdr:nvSpPr>
      <xdr:spPr bwMode="auto">
        <a:xfrm>
          <a:off x="19050" y="2442210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13322" name="Line 2">
          <a:extLst>
            <a:ext uri="{FF2B5EF4-FFF2-40B4-BE49-F238E27FC236}">
              <a16:creationId xmlns:a16="http://schemas.microsoft.com/office/drawing/2014/main" id="{00000000-0008-0000-0400-00000A340000}"/>
            </a:ext>
          </a:extLst>
        </xdr:cNvPr>
        <xdr:cNvSpPr>
          <a:spLocks noChangeShapeType="1"/>
        </xdr:cNvSpPr>
      </xdr:nvSpPr>
      <xdr:spPr bwMode="auto">
        <a:xfrm>
          <a:off x="9525" y="2442210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13323" name="Line 1">
          <a:extLst>
            <a:ext uri="{FF2B5EF4-FFF2-40B4-BE49-F238E27FC236}">
              <a16:creationId xmlns:a16="http://schemas.microsoft.com/office/drawing/2014/main" id="{00000000-0008-0000-0400-00000B340000}"/>
            </a:ext>
          </a:extLst>
        </xdr:cNvPr>
        <xdr:cNvSpPr>
          <a:spLocks noChangeShapeType="1"/>
        </xdr:cNvSpPr>
      </xdr:nvSpPr>
      <xdr:spPr bwMode="auto">
        <a:xfrm>
          <a:off x="19050" y="2442210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13324" name="Line 2">
          <a:extLst>
            <a:ext uri="{FF2B5EF4-FFF2-40B4-BE49-F238E27FC236}">
              <a16:creationId xmlns:a16="http://schemas.microsoft.com/office/drawing/2014/main" id="{00000000-0008-0000-0400-00000C340000}"/>
            </a:ext>
          </a:extLst>
        </xdr:cNvPr>
        <xdr:cNvSpPr>
          <a:spLocks noChangeShapeType="1"/>
        </xdr:cNvSpPr>
      </xdr:nvSpPr>
      <xdr:spPr bwMode="auto">
        <a:xfrm>
          <a:off x="9525" y="2442210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19050" y="372224"/>
          <a:ext cx="302017" cy="1308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9525" y="372224"/>
          <a:ext cx="314325" cy="1308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19050" y="372224"/>
          <a:ext cx="302017" cy="1308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9525" y="372224"/>
          <a:ext cx="314325" cy="13080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1085850</xdr:colOff>
      <xdr:row>7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</xdr:row>
      <xdr:rowOff>0</xdr:rowOff>
    </xdr:from>
    <xdr:to>
      <xdr:col>0</xdr:col>
      <xdr:colOff>1085850</xdr:colOff>
      <xdr:row>7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0</xdr:rowOff>
    </xdr:from>
    <xdr:to>
      <xdr:col>0</xdr:col>
      <xdr:colOff>1085850</xdr:colOff>
      <xdr:row>32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9525" y="902970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29" name="Line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45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ShapeType="1"/>
        </xdr:cNvSpPr>
      </xdr:nvSpPr>
      <xdr:spPr bwMode="auto">
        <a:xfrm>
          <a:off x="19050" y="17497425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0</xdr:col>
      <xdr:colOff>1085850</xdr:colOff>
      <xdr:row>46</xdr:row>
      <xdr:rowOff>0</xdr:rowOff>
    </xdr:to>
    <xdr:sp macro="" textlink="">
      <xdr:nvSpPr>
        <xdr:cNvPr id="40" name="Lin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ShapeType="1"/>
        </xdr:cNvSpPr>
      </xdr:nvSpPr>
      <xdr:spPr bwMode="auto">
        <a:xfrm>
          <a:off x="9525" y="17497425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1085850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77152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1085850</xdr:colOff>
      <xdr:row>5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77152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1085850</xdr:colOff>
      <xdr:row>5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77152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>
          <a:off x="78105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0</xdr:col>
      <xdr:colOff>1085850</xdr:colOff>
      <xdr:row>16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771525" y="6877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ShapeType="1"/>
        </xdr:cNvSpPr>
      </xdr:nvSpPr>
      <xdr:spPr bwMode="auto">
        <a:xfrm>
          <a:off x="781050" y="12592050"/>
          <a:ext cx="3048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1085850</xdr:colOff>
      <xdr:row>27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ShapeType="1"/>
        </xdr:cNvSpPr>
      </xdr:nvSpPr>
      <xdr:spPr bwMode="auto">
        <a:xfrm>
          <a:off x="771525" y="12592050"/>
          <a:ext cx="3143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rdana.mazalovic@kif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U138"/>
  <sheetViews>
    <sheetView showGridLines="0" topLeftCell="A27" workbookViewId="0">
      <selection activeCell="G29" sqref="G29"/>
    </sheetView>
  </sheetViews>
  <sheetFormatPr defaultColWidth="14.42578125" defaultRowHeight="12.75"/>
  <cols>
    <col min="1" max="1" width="7.5703125" style="70" customWidth="1"/>
    <col min="2" max="2" width="36.140625" style="70" bestFit="1" customWidth="1"/>
    <col min="3" max="3" width="21.42578125" style="70" customWidth="1"/>
    <col min="4" max="4" width="21.140625" style="70" customWidth="1"/>
    <col min="5" max="5" width="21.7109375" style="70" customWidth="1"/>
    <col min="6" max="11" width="11.42578125" style="70" customWidth="1"/>
    <col min="12" max="12" width="16.42578125" style="70" customWidth="1"/>
    <col min="13" max="13" width="7.85546875" style="70" customWidth="1"/>
    <col min="14" max="14" width="97.5703125" style="70" customWidth="1"/>
    <col min="15" max="15" width="19.5703125" style="70" customWidth="1"/>
    <col min="16" max="18" width="11.42578125" style="70" customWidth="1"/>
    <col min="19" max="19" width="12.85546875" style="70" customWidth="1"/>
    <col min="20" max="26" width="11.42578125" style="70" customWidth="1"/>
    <col min="27" max="16384" width="14.42578125" style="70"/>
  </cols>
  <sheetData>
    <row r="3" spans="1:21" ht="36.75" customHeight="1">
      <c r="A3" s="71"/>
      <c r="B3" s="107" t="s">
        <v>0</v>
      </c>
      <c r="C3" s="262" t="s">
        <v>1</v>
      </c>
      <c r="D3" s="263"/>
      <c r="E3" s="264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ht="15">
      <c r="A4" s="71"/>
      <c r="B4" s="108" t="s">
        <v>2</v>
      </c>
      <c r="C4" s="265" t="s">
        <v>3</v>
      </c>
      <c r="D4" s="266"/>
      <c r="E4" s="267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15">
      <c r="A5" s="72"/>
      <c r="B5" s="108" t="s">
        <v>4</v>
      </c>
      <c r="C5" s="265" t="s">
        <v>5</v>
      </c>
      <c r="D5" s="266"/>
      <c r="E5" s="267"/>
      <c r="F5" s="71"/>
      <c r="G5" s="71"/>
      <c r="H5" s="71"/>
      <c r="I5" s="71"/>
      <c r="J5" s="71"/>
      <c r="K5" s="73" t="s">
        <v>6</v>
      </c>
      <c r="L5" s="73" t="s">
        <v>7</v>
      </c>
      <c r="M5" s="73" t="s">
        <v>8</v>
      </c>
      <c r="N5" s="73" t="s">
        <v>9</v>
      </c>
      <c r="O5" s="73" t="s">
        <v>10</v>
      </c>
      <c r="P5" s="73" t="s">
        <v>11</v>
      </c>
      <c r="Q5" s="73" t="s">
        <v>12</v>
      </c>
      <c r="R5" s="73" t="s">
        <v>13</v>
      </c>
      <c r="S5" s="73" t="s">
        <v>14</v>
      </c>
      <c r="T5" s="73" t="s">
        <v>15</v>
      </c>
      <c r="U5" s="74" t="s">
        <v>16</v>
      </c>
    </row>
    <row r="6" spans="1:21" ht="15">
      <c r="A6" s="75"/>
      <c r="B6" s="108" t="s">
        <v>17</v>
      </c>
      <c r="C6" s="265" t="s">
        <v>18</v>
      </c>
      <c r="D6" s="266"/>
      <c r="E6" s="267"/>
      <c r="F6" s="71"/>
      <c r="G6" s="71"/>
      <c r="H6" s="71"/>
      <c r="I6" s="71"/>
      <c r="J6" s="71"/>
      <c r="K6" s="70">
        <v>0</v>
      </c>
      <c r="L6" s="70" t="s">
        <v>19</v>
      </c>
      <c r="T6" s="70" t="s">
        <v>20</v>
      </c>
      <c r="U6" s="70" t="s">
        <v>20</v>
      </c>
    </row>
    <row r="7" spans="1:21" ht="15">
      <c r="A7" s="75"/>
      <c r="B7" s="108" t="s">
        <v>21</v>
      </c>
      <c r="C7" s="268" t="s">
        <v>22</v>
      </c>
      <c r="D7" s="269"/>
      <c r="E7" s="270"/>
      <c r="F7" s="71"/>
      <c r="G7" s="71"/>
      <c r="H7" s="71"/>
      <c r="I7" s="71"/>
      <c r="J7" s="71"/>
      <c r="K7" s="128">
        <f t="shared" ref="K7:K71" si="0">+K6+1</f>
        <v>1</v>
      </c>
      <c r="L7" s="126" t="str">
        <f>M7&amp;" "&amp;N7</f>
        <v xml:space="preserve">1222 MINISTARSTVO ZNANOSTI I OBRAZOVANJA </v>
      </c>
      <c r="M7" s="126">
        <v>1222</v>
      </c>
      <c r="N7" s="129" t="s">
        <v>23</v>
      </c>
      <c r="O7" s="130"/>
      <c r="P7" s="135" t="s">
        <v>24</v>
      </c>
      <c r="Q7" s="129" t="s">
        <v>25</v>
      </c>
      <c r="R7" s="127">
        <v>3271030</v>
      </c>
      <c r="S7" s="123" t="s">
        <v>26</v>
      </c>
      <c r="T7" s="124" t="s">
        <v>27</v>
      </c>
      <c r="U7" s="125" t="s">
        <v>28</v>
      </c>
    </row>
    <row r="8" spans="1:21" ht="15">
      <c r="A8" s="75"/>
      <c r="B8" s="75"/>
      <c r="C8" s="71"/>
      <c r="D8" s="71"/>
      <c r="E8" s="71"/>
      <c r="F8" s="71"/>
      <c r="G8" s="71"/>
      <c r="H8" s="71"/>
      <c r="I8" s="71"/>
      <c r="J8" s="71"/>
      <c r="K8" s="128">
        <f t="shared" si="0"/>
        <v>2</v>
      </c>
      <c r="L8" s="126" t="str">
        <f t="shared" ref="L8:L72" si="1">M8&amp;" "&amp;N8</f>
        <v>2063 FAKULTET ORGANIZACIJE I INFORMATIKE U VARAŽDINU</v>
      </c>
      <c r="M8" s="126">
        <v>2063</v>
      </c>
      <c r="N8" s="129" t="s">
        <v>29</v>
      </c>
      <c r="O8" s="130" t="s">
        <v>30</v>
      </c>
      <c r="P8" s="129" t="s">
        <v>31</v>
      </c>
      <c r="Q8" s="129" t="s">
        <v>32</v>
      </c>
      <c r="R8" s="127">
        <v>3006107</v>
      </c>
      <c r="S8" s="123" t="s">
        <v>33</v>
      </c>
      <c r="T8" s="124" t="s">
        <v>34</v>
      </c>
      <c r="U8" s="125" t="s">
        <v>35</v>
      </c>
    </row>
    <row r="9" spans="1:21" ht="28.5" customHeight="1">
      <c r="B9" s="260" t="s">
        <v>36</v>
      </c>
      <c r="C9" s="279"/>
      <c r="D9" s="279"/>
      <c r="E9" s="279"/>
      <c r="F9" s="71"/>
      <c r="G9" s="71"/>
      <c r="H9" s="71"/>
      <c r="I9" s="71"/>
      <c r="J9" s="71"/>
      <c r="K9" s="128">
        <f t="shared" si="0"/>
        <v>3</v>
      </c>
      <c r="L9" s="126" t="str">
        <f t="shared" si="1"/>
        <v>43749 MEĐIMURSKO VELEUČILIŠTE U ČAKOVCU</v>
      </c>
      <c r="M9" s="126">
        <v>43749</v>
      </c>
      <c r="N9" s="129" t="s">
        <v>37</v>
      </c>
      <c r="O9" s="130" t="s">
        <v>38</v>
      </c>
      <c r="P9" s="129" t="s">
        <v>39</v>
      </c>
      <c r="Q9" s="129" t="s">
        <v>40</v>
      </c>
      <c r="R9" s="127">
        <v>2382512</v>
      </c>
      <c r="S9" s="123" t="s">
        <v>41</v>
      </c>
      <c r="T9" s="124" t="s">
        <v>34</v>
      </c>
      <c r="U9" s="125" t="s">
        <v>35</v>
      </c>
    </row>
    <row r="10" spans="1:21" ht="18.75" customHeight="1">
      <c r="B10" s="218"/>
      <c r="F10" s="71"/>
      <c r="G10" s="71"/>
      <c r="H10" s="71"/>
      <c r="I10" s="71"/>
      <c r="J10" s="71"/>
      <c r="K10" s="128">
        <f t="shared" si="0"/>
        <v>4</v>
      </c>
      <c r="L10" s="126" t="str">
        <f t="shared" si="1"/>
        <v>2452 SVEUČILIŠTE J. J. STROSSMAYERA U OSIJEKU</v>
      </c>
      <c r="M10" s="126">
        <v>2452</v>
      </c>
      <c r="N10" s="129" t="s">
        <v>42</v>
      </c>
      <c r="O10" s="136" t="s">
        <v>43</v>
      </c>
      <c r="P10" s="129" t="s">
        <v>44</v>
      </c>
      <c r="Q10" s="129" t="s">
        <v>45</v>
      </c>
      <c r="R10" s="127">
        <v>3049779</v>
      </c>
      <c r="S10" s="123" t="s">
        <v>46</v>
      </c>
      <c r="T10" s="124" t="s">
        <v>34</v>
      </c>
      <c r="U10" s="125" t="s">
        <v>35</v>
      </c>
    </row>
    <row r="11" spans="1:21" ht="12" customHeight="1">
      <c r="B11" s="260" t="s">
        <v>47</v>
      </c>
      <c r="C11" s="279"/>
      <c r="D11" s="279"/>
      <c r="E11" s="279"/>
      <c r="F11" s="71"/>
      <c r="G11" s="71"/>
      <c r="H11" s="71"/>
      <c r="I11" s="71"/>
      <c r="J11" s="71"/>
      <c r="K11" s="128">
        <f t="shared" si="0"/>
        <v>5</v>
      </c>
      <c r="L11" s="126" t="str">
        <f t="shared" si="1"/>
        <v>50215 SVEUČILIŠTE J. J. STROSSMAYERA U OSIJEKU - AKADEMIJA ZA UMJETNOST I KULTURU U OSIJEKU</v>
      </c>
      <c r="M11" s="126">
        <v>50215</v>
      </c>
      <c r="N11" s="129" t="s">
        <v>48</v>
      </c>
      <c r="O11" s="136" t="s">
        <v>43</v>
      </c>
      <c r="P11" s="129" t="s">
        <v>49</v>
      </c>
      <c r="Q11" s="129" t="s">
        <v>45</v>
      </c>
      <c r="R11" s="127">
        <v>4907361</v>
      </c>
      <c r="S11" s="123" t="s">
        <v>50</v>
      </c>
      <c r="T11" s="124" t="s">
        <v>34</v>
      </c>
      <c r="U11" s="125" t="s">
        <v>35</v>
      </c>
    </row>
    <row r="12" spans="1:21" ht="12" customHeight="1">
      <c r="B12" s="218"/>
      <c r="F12" s="71"/>
      <c r="G12" s="71"/>
      <c r="H12" s="71"/>
      <c r="I12" s="71"/>
      <c r="J12" s="71"/>
      <c r="K12" s="128">
        <f t="shared" si="0"/>
        <v>6</v>
      </c>
      <c r="L12" s="126" t="str">
        <f t="shared" si="1"/>
        <v>2284 SVEUČILIŠTE J. J. STROSSMAYERA U OSIJEKU - EKONOMSKI FAKULTET</v>
      </c>
      <c r="M12" s="126">
        <v>2284</v>
      </c>
      <c r="N12" s="129" t="s">
        <v>51</v>
      </c>
      <c r="O12" s="136" t="s">
        <v>43</v>
      </c>
      <c r="P12" s="129" t="s">
        <v>52</v>
      </c>
      <c r="Q12" s="129" t="s">
        <v>45</v>
      </c>
      <c r="R12" s="127">
        <v>3021645</v>
      </c>
      <c r="S12" s="123" t="s">
        <v>53</v>
      </c>
      <c r="T12" s="124" t="s">
        <v>34</v>
      </c>
      <c r="U12" s="125" t="s">
        <v>35</v>
      </c>
    </row>
    <row r="13" spans="1:21" ht="33" customHeight="1">
      <c r="B13" s="260" t="s">
        <v>54</v>
      </c>
      <c r="C13" s="279"/>
      <c r="D13" s="279"/>
      <c r="E13" s="279"/>
      <c r="F13" s="81"/>
      <c r="G13" s="71"/>
      <c r="H13" s="71"/>
      <c r="I13" s="71"/>
      <c r="J13" s="71"/>
      <c r="K13" s="128">
        <f t="shared" si="0"/>
        <v>7</v>
      </c>
      <c r="L13" s="126" t="str">
        <f t="shared" si="1"/>
        <v>2268 SVEUČILIŠTE J. J. STROSSMAYERA U OSIJEKU - FAKULTET AGROBIOTEHNIČKIH ZNANOSTI OSIJEK</v>
      </c>
      <c r="M13" s="126">
        <v>2268</v>
      </c>
      <c r="N13" s="129" t="s">
        <v>55</v>
      </c>
      <c r="O13" s="136" t="s">
        <v>43</v>
      </c>
      <c r="P13" s="129" t="s">
        <v>56</v>
      </c>
      <c r="Q13" s="129" t="s">
        <v>45</v>
      </c>
      <c r="R13" s="127">
        <v>3058212</v>
      </c>
      <c r="S13" s="123" t="s">
        <v>57</v>
      </c>
      <c r="T13" s="124" t="s">
        <v>34</v>
      </c>
      <c r="U13" s="125" t="s">
        <v>35</v>
      </c>
    </row>
    <row r="14" spans="1:21" ht="19.5" customHeight="1">
      <c r="A14" s="77"/>
      <c r="B14" s="77"/>
      <c r="C14" s="71"/>
      <c r="D14" s="71"/>
      <c r="E14" s="159" t="s">
        <v>58</v>
      </c>
      <c r="F14" s="81"/>
      <c r="G14" s="71"/>
      <c r="H14" s="71"/>
      <c r="I14" s="71"/>
      <c r="J14" s="71"/>
      <c r="K14" s="128">
        <f t="shared" si="0"/>
        <v>8</v>
      </c>
      <c r="L14" s="126" t="str">
        <f t="shared" si="1"/>
        <v>2313 SVEUČILIŠTE J. J. STROSSMAYERA U OSIJEKU - FAKULTET ELEKTROTEHNIKE, RAČUNARSTVA I INFORMACIJSKIH TEHNOLOGIJA OSIJEK</v>
      </c>
      <c r="M14" s="126">
        <v>2313</v>
      </c>
      <c r="N14" s="129" t="s">
        <v>59</v>
      </c>
      <c r="O14" s="136" t="s">
        <v>43</v>
      </c>
      <c r="P14" s="129" t="s">
        <v>60</v>
      </c>
      <c r="Q14" s="129" t="s">
        <v>45</v>
      </c>
      <c r="R14" s="127">
        <v>3392589</v>
      </c>
      <c r="S14" s="123" t="s">
        <v>61</v>
      </c>
      <c r="T14" s="124" t="s">
        <v>34</v>
      </c>
      <c r="U14" s="125" t="s">
        <v>35</v>
      </c>
    </row>
    <row r="15" spans="1:21" ht="26.25" customHeight="1">
      <c r="A15" s="78"/>
      <c r="B15" s="78"/>
      <c r="C15" s="253" t="s">
        <v>62</v>
      </c>
      <c r="D15" s="253" t="s">
        <v>63</v>
      </c>
      <c r="E15" s="253" t="s">
        <v>64</v>
      </c>
      <c r="F15" s="71"/>
      <c r="G15" s="71"/>
      <c r="H15" s="71"/>
      <c r="I15" s="71"/>
      <c r="J15" s="71"/>
      <c r="K15" s="128">
        <f t="shared" si="0"/>
        <v>9</v>
      </c>
      <c r="L15" s="126" t="str">
        <f t="shared" si="1"/>
        <v>49796 SVEUČILIŠTE J. J. STROSSMAYERA U OSIJEKU - FAKULTET ZA DENTALNU MEDICINU I ZDRAVSTVO</v>
      </c>
      <c r="M15" s="126">
        <v>49796</v>
      </c>
      <c r="N15" s="129" t="s">
        <v>65</v>
      </c>
      <c r="O15" s="136" t="s">
        <v>43</v>
      </c>
      <c r="P15" s="129" t="s">
        <v>66</v>
      </c>
      <c r="Q15" s="129" t="s">
        <v>45</v>
      </c>
      <c r="R15" s="127">
        <v>4748875</v>
      </c>
      <c r="S15" s="123" t="s">
        <v>67</v>
      </c>
      <c r="T15" s="124" t="s">
        <v>34</v>
      </c>
      <c r="U15" s="125" t="s">
        <v>35</v>
      </c>
    </row>
    <row r="16" spans="1:21" ht="19.5" customHeight="1">
      <c r="A16" s="79"/>
      <c r="B16" s="79" t="s">
        <v>68</v>
      </c>
      <c r="C16" s="80">
        <f>SUM(C17:C18)</f>
        <v>2510844</v>
      </c>
      <c r="D16" s="80">
        <f>+D17+D18</f>
        <v>8481248</v>
      </c>
      <c r="E16" s="80">
        <f>+E17+E18</f>
        <v>2971919</v>
      </c>
      <c r="F16" s="71"/>
      <c r="G16" s="85"/>
      <c r="H16" s="71"/>
      <c r="I16" s="71"/>
      <c r="J16" s="71"/>
      <c r="K16" s="128">
        <f t="shared" si="0"/>
        <v>10</v>
      </c>
      <c r="L16" s="126" t="str">
        <f t="shared" si="1"/>
        <v>22486 SVEUČILIŠTE J. J. STROSSMAYERA U OSIJEKU - FAKULTET ZA ODGOJNE I OBRAZOVNE ZNANOSTI</v>
      </c>
      <c r="M16" s="126">
        <v>22486</v>
      </c>
      <c r="N16" s="129" t="s">
        <v>69</v>
      </c>
      <c r="O16" s="136" t="s">
        <v>43</v>
      </c>
      <c r="P16" s="129" t="s">
        <v>70</v>
      </c>
      <c r="Q16" s="129" t="s">
        <v>45</v>
      </c>
      <c r="R16" s="127">
        <v>1404881</v>
      </c>
      <c r="S16" s="123" t="s">
        <v>71</v>
      </c>
      <c r="T16" s="124" t="s">
        <v>34</v>
      </c>
      <c r="U16" s="125" t="s">
        <v>35</v>
      </c>
    </row>
    <row r="17" spans="1:21" ht="19.5" customHeight="1">
      <c r="A17" s="82">
        <v>6</v>
      </c>
      <c r="B17" s="79" t="s">
        <v>72</v>
      </c>
      <c r="C17" s="83">
        <f>+'A.1 PRIHODI'!C27</f>
        <v>2510844</v>
      </c>
      <c r="D17" s="83">
        <f>+'A.1 PRIHODI'!C41</f>
        <v>8479921</v>
      </c>
      <c r="E17" s="83">
        <f>+'A.1 PRIHODI'!C61</f>
        <v>2971919</v>
      </c>
      <c r="F17" s="71"/>
      <c r="G17" s="71"/>
      <c r="H17" s="71"/>
      <c r="I17" s="71"/>
      <c r="J17" s="71"/>
      <c r="K17" s="128">
        <f t="shared" si="0"/>
        <v>11</v>
      </c>
      <c r="L17" s="126" t="str">
        <f t="shared" si="1"/>
        <v>2321 SVEUČILIŠTE J. J. STROSSMAYERA U OSIJEKU - FILOZOFSKI FAKULTET</v>
      </c>
      <c r="M17" s="126">
        <v>2321</v>
      </c>
      <c r="N17" s="129" t="s">
        <v>73</v>
      </c>
      <c r="O17" s="136" t="s">
        <v>43</v>
      </c>
      <c r="P17" s="129" t="s">
        <v>74</v>
      </c>
      <c r="Q17" s="129" t="s">
        <v>45</v>
      </c>
      <c r="R17" s="127">
        <v>3014185</v>
      </c>
      <c r="S17" s="123" t="s">
        <v>75</v>
      </c>
      <c r="T17" s="124" t="s">
        <v>34</v>
      </c>
      <c r="U17" s="125" t="s">
        <v>35</v>
      </c>
    </row>
    <row r="18" spans="1:21" ht="19.5" customHeight="1">
      <c r="A18" s="82">
        <v>7</v>
      </c>
      <c r="B18" s="84" t="s">
        <v>76</v>
      </c>
      <c r="C18" s="83">
        <f>+'A.1 PRIHODI'!C30</f>
        <v>0</v>
      </c>
      <c r="D18" s="83">
        <f>+'A.1 PRIHODI'!C44</f>
        <v>1327</v>
      </c>
      <c r="E18" s="83">
        <f>+'A.1 PRIHODI'!C64</f>
        <v>0</v>
      </c>
      <c r="F18" s="71"/>
      <c r="G18" s="71"/>
      <c r="H18" s="71"/>
      <c r="I18" s="71"/>
      <c r="J18" s="71"/>
      <c r="K18" s="128">
        <f t="shared" si="0"/>
        <v>12</v>
      </c>
      <c r="L18" s="126" t="str">
        <f t="shared" si="1"/>
        <v>2508 SVEUČILIŠTE J. J. STROSSMAYERA U OSIJEKU - GRADSKA I SVEUČILIŠNA KNJIŽNICA</v>
      </c>
      <c r="M18" s="126">
        <v>2508</v>
      </c>
      <c r="N18" s="129" t="s">
        <v>77</v>
      </c>
      <c r="O18" s="136" t="s">
        <v>43</v>
      </c>
      <c r="P18" s="129" t="s">
        <v>78</v>
      </c>
      <c r="Q18" s="129" t="s">
        <v>45</v>
      </c>
      <c r="R18" s="127">
        <v>3014347</v>
      </c>
      <c r="S18" s="123" t="s">
        <v>79</v>
      </c>
      <c r="T18" s="124" t="s">
        <v>34</v>
      </c>
      <c r="U18" s="125" t="s">
        <v>35</v>
      </c>
    </row>
    <row r="19" spans="1:21" ht="19.5" customHeight="1">
      <c r="A19" s="86"/>
      <c r="B19" s="84" t="s">
        <v>80</v>
      </c>
      <c r="C19" s="87">
        <f>SUM(C20:C21)</f>
        <v>2743703</v>
      </c>
      <c r="D19" s="87">
        <f>+D20+D21</f>
        <v>8252204</v>
      </c>
      <c r="E19" s="87">
        <f>+E20+E21</f>
        <v>3176187</v>
      </c>
      <c r="F19" s="71"/>
      <c r="G19" s="71"/>
      <c r="H19" s="71"/>
      <c r="I19" s="71"/>
      <c r="J19" s="71"/>
      <c r="K19" s="128">
        <f t="shared" si="0"/>
        <v>13</v>
      </c>
      <c r="L19" s="126" t="str">
        <f t="shared" si="1"/>
        <v>2250 SVEUČILIŠTE J. J. STROSSMAYERA U OSIJEKU - GRAĐEVINSKI I ARHITEKTONSKI FAKULTET OSIJEK</v>
      </c>
      <c r="M19" s="126">
        <v>2250</v>
      </c>
      <c r="N19" s="129" t="s">
        <v>81</v>
      </c>
      <c r="O19" s="136" t="s">
        <v>43</v>
      </c>
      <c r="P19" s="129" t="s">
        <v>82</v>
      </c>
      <c r="Q19" s="129" t="s">
        <v>45</v>
      </c>
      <c r="R19" s="127">
        <v>3397335</v>
      </c>
      <c r="S19" s="123" t="s">
        <v>83</v>
      </c>
      <c r="T19" s="124" t="s">
        <v>34</v>
      </c>
      <c r="U19" s="125" t="s">
        <v>35</v>
      </c>
    </row>
    <row r="20" spans="1:21" ht="19.5" customHeight="1">
      <c r="A20" s="86">
        <v>3</v>
      </c>
      <c r="B20" s="79" t="s">
        <v>84</v>
      </c>
      <c r="C20" s="88">
        <f>+'A.2 RASHODI'!C5</f>
        <v>2680487</v>
      </c>
      <c r="D20" s="89">
        <f>+'A.2 RASHODI'!C41</f>
        <v>6284686</v>
      </c>
      <c r="E20" s="89">
        <f>+'A.2 RASHODI'!C58</f>
        <v>3123165</v>
      </c>
      <c r="F20" s="71"/>
      <c r="G20" s="71"/>
      <c r="H20" s="71"/>
      <c r="I20" s="71"/>
      <c r="J20" s="71"/>
      <c r="K20" s="128">
        <f t="shared" si="0"/>
        <v>14</v>
      </c>
      <c r="L20" s="126" t="str">
        <f t="shared" si="1"/>
        <v>38479 SVEUČILIŠTE J. J. STROSSMAYERA U OSIJEKU - KATOLIČKI BOGOSLOVNI FAKULTET U ĐAKOVU</v>
      </c>
      <c r="M20" s="126">
        <v>38479</v>
      </c>
      <c r="N20" s="129" t="s">
        <v>85</v>
      </c>
      <c r="O20" s="136" t="s">
        <v>43</v>
      </c>
      <c r="P20" s="129" t="s">
        <v>86</v>
      </c>
      <c r="Q20" s="129" t="s">
        <v>87</v>
      </c>
      <c r="R20" s="127">
        <v>1986490</v>
      </c>
      <c r="S20" s="123" t="s">
        <v>88</v>
      </c>
      <c r="T20" s="124" t="s">
        <v>34</v>
      </c>
      <c r="U20" s="125" t="s">
        <v>35</v>
      </c>
    </row>
    <row r="21" spans="1:21" ht="19.5" customHeight="1">
      <c r="A21" s="82">
        <v>4</v>
      </c>
      <c r="B21" s="84" t="s">
        <v>89</v>
      </c>
      <c r="C21" s="88">
        <f>+'A.2 RASHODI'!C32</f>
        <v>63216</v>
      </c>
      <c r="D21" s="89">
        <f>+'A.2 RASHODI'!C49</f>
        <v>1967518</v>
      </c>
      <c r="E21" s="89">
        <f>+'A.2 RASHODI'!C70</f>
        <v>53022</v>
      </c>
      <c r="F21" s="71"/>
      <c r="G21" s="71"/>
      <c r="H21" s="71"/>
      <c r="I21" s="71"/>
      <c r="J21" s="71"/>
      <c r="K21" s="128">
        <f t="shared" si="0"/>
        <v>15</v>
      </c>
      <c r="L21" s="126" t="str">
        <f t="shared" si="1"/>
        <v>51450 SVEUČILIŠTE J. J. STROSSMAYERA U OSIJEKU - KINEZIOLOŠKI FAKULTET OSIJEK</v>
      </c>
      <c r="M21" s="126">
        <v>51450</v>
      </c>
      <c r="N21" s="129" t="s">
        <v>90</v>
      </c>
      <c r="O21" s="136" t="s">
        <v>43</v>
      </c>
      <c r="P21" s="129" t="s">
        <v>91</v>
      </c>
      <c r="Q21" s="129" t="s">
        <v>45</v>
      </c>
      <c r="R21" s="127">
        <v>5302099</v>
      </c>
      <c r="S21" s="123" t="s">
        <v>92</v>
      </c>
      <c r="T21" s="124" t="s">
        <v>34</v>
      </c>
      <c r="U21" s="125" t="s">
        <v>35</v>
      </c>
    </row>
    <row r="22" spans="1:21" ht="15">
      <c r="A22" s="79"/>
      <c r="B22" s="79" t="s">
        <v>93</v>
      </c>
      <c r="C22" s="80">
        <f>+C16-C19</f>
        <v>-232859</v>
      </c>
      <c r="D22" s="80">
        <f>+D16-D19</f>
        <v>229044</v>
      </c>
      <c r="E22" s="80">
        <f>+E16-E19</f>
        <v>-204268</v>
      </c>
      <c r="F22" s="71"/>
      <c r="G22" s="71"/>
      <c r="H22" s="85"/>
      <c r="I22" s="71"/>
      <c r="J22" s="71"/>
      <c r="K22" s="128">
        <f t="shared" si="0"/>
        <v>16</v>
      </c>
      <c r="L22" s="126" t="str">
        <f t="shared" si="1"/>
        <v>22849 SVEUČILIŠTE J. J. STROSSMAYERA U OSIJEKU - MEDICINSKI FAKULTET</v>
      </c>
      <c r="M22" s="126">
        <v>22849</v>
      </c>
      <c r="N22" s="129" t="s">
        <v>94</v>
      </c>
      <c r="O22" s="136" t="s">
        <v>43</v>
      </c>
      <c r="P22" s="129" t="s">
        <v>95</v>
      </c>
      <c r="Q22" s="129" t="s">
        <v>45</v>
      </c>
      <c r="R22" s="127">
        <v>1388142</v>
      </c>
      <c r="S22" s="123" t="s">
        <v>96</v>
      </c>
      <c r="T22" s="124" t="s">
        <v>34</v>
      </c>
      <c r="U22" s="125" t="s">
        <v>35</v>
      </c>
    </row>
    <row r="23" spans="1:21" ht="11.25" customHeight="1">
      <c r="B23" s="261"/>
      <c r="C23" s="279"/>
      <c r="D23" s="279"/>
      <c r="E23" s="279"/>
      <c r="F23" s="71"/>
      <c r="G23" s="71"/>
      <c r="H23" s="91"/>
      <c r="I23" s="71"/>
      <c r="J23" s="71"/>
      <c r="K23" s="128">
        <f t="shared" si="0"/>
        <v>17</v>
      </c>
      <c r="L23" s="126" t="str">
        <f t="shared" si="1"/>
        <v>2292 SVEUČILIŠTE J. J. STROSSMAYERA U OSIJEKU - PRAVNI FAKULTET</v>
      </c>
      <c r="M23" s="126">
        <v>2292</v>
      </c>
      <c r="N23" s="129" t="s">
        <v>97</v>
      </c>
      <c r="O23" s="136" t="s">
        <v>43</v>
      </c>
      <c r="P23" s="129" t="s">
        <v>98</v>
      </c>
      <c r="Q23" s="129" t="s">
        <v>45</v>
      </c>
      <c r="R23" s="127">
        <v>3014193</v>
      </c>
      <c r="S23" s="123" t="s">
        <v>99</v>
      </c>
      <c r="T23" s="124" t="s">
        <v>34</v>
      </c>
      <c r="U23" s="125" t="s">
        <v>35</v>
      </c>
    </row>
    <row r="24" spans="1:21" ht="15">
      <c r="B24" s="260" t="s">
        <v>100</v>
      </c>
      <c r="C24" s="279"/>
      <c r="D24" s="279"/>
      <c r="E24" s="279"/>
      <c r="F24" s="71"/>
      <c r="G24" s="71"/>
      <c r="H24" s="91"/>
      <c r="I24" s="71"/>
      <c r="J24" s="71"/>
      <c r="K24" s="128">
        <f t="shared" si="0"/>
        <v>18</v>
      </c>
      <c r="L24" s="126" t="str">
        <f t="shared" si="1"/>
        <v>2276 SVEUČILIŠTE J. J. STROSSMAYERA U OSIJEKU - PREHRAMBENO TEHNOLOŠKI FAKULTET</v>
      </c>
      <c r="M24" s="126">
        <v>2276</v>
      </c>
      <c r="N24" s="129" t="s">
        <v>101</v>
      </c>
      <c r="O24" s="136" t="s">
        <v>43</v>
      </c>
      <c r="P24" s="129" t="s">
        <v>102</v>
      </c>
      <c r="Q24" s="129" t="s">
        <v>45</v>
      </c>
      <c r="R24" s="127">
        <v>3058204</v>
      </c>
      <c r="S24" s="123" t="s">
        <v>103</v>
      </c>
      <c r="T24" s="124" t="s">
        <v>34</v>
      </c>
      <c r="U24" s="125" t="s">
        <v>35</v>
      </c>
    </row>
    <row r="25" spans="1:21" ht="15">
      <c r="A25" s="77"/>
      <c r="B25" s="77"/>
      <c r="C25" s="71"/>
      <c r="D25" s="71"/>
      <c r="E25" s="159" t="s">
        <v>58</v>
      </c>
      <c r="F25" s="71"/>
      <c r="G25" s="71"/>
      <c r="H25" s="71"/>
      <c r="I25" s="71"/>
      <c r="J25" s="71"/>
      <c r="K25" s="128">
        <f t="shared" si="0"/>
        <v>19</v>
      </c>
      <c r="L25" s="126" t="str">
        <f t="shared" si="1"/>
        <v>52565 SVEUČILIŠTE J. J. STROSSMAYERA U OSIJEKU - FAKULTET TURIZMA I RURALNOG RAZVOJA U POŽEGI</v>
      </c>
      <c r="M25" s="236">
        <v>52565</v>
      </c>
      <c r="N25" s="237" t="s">
        <v>104</v>
      </c>
      <c r="O25" s="238" t="s">
        <v>43</v>
      </c>
      <c r="P25" s="237" t="s">
        <v>105</v>
      </c>
      <c r="Q25" s="129" t="s">
        <v>45</v>
      </c>
      <c r="R25" s="239">
        <v>5619696</v>
      </c>
      <c r="S25" s="240" t="s">
        <v>106</v>
      </c>
      <c r="T25" s="124" t="s">
        <v>34</v>
      </c>
      <c r="U25" s="125" t="s">
        <v>35</v>
      </c>
    </row>
    <row r="26" spans="1:21" ht="30.75" customHeight="1">
      <c r="A26" s="78"/>
      <c r="B26" s="78"/>
      <c r="C26" s="253" t="s">
        <v>62</v>
      </c>
      <c r="D26" s="253" t="s">
        <v>63</v>
      </c>
      <c r="E26" s="253" t="s">
        <v>64</v>
      </c>
      <c r="F26" s="71"/>
      <c r="G26" s="71"/>
      <c r="H26" s="94"/>
      <c r="I26" s="71"/>
      <c r="J26" s="71"/>
      <c r="K26" s="128">
        <f t="shared" si="0"/>
        <v>20</v>
      </c>
      <c r="L26" s="126" t="str">
        <f t="shared" si="1"/>
        <v>42024 SVEUČILIŠTE JURJA DOBRILE U PULI</v>
      </c>
      <c r="M26" s="126">
        <v>42024</v>
      </c>
      <c r="N26" s="129" t="s">
        <v>107</v>
      </c>
      <c r="O26" s="130" t="s">
        <v>108</v>
      </c>
      <c r="P26" s="129" t="s">
        <v>109</v>
      </c>
      <c r="Q26" s="129" t="s">
        <v>110</v>
      </c>
      <c r="R26" s="127">
        <v>2161753</v>
      </c>
      <c r="S26" s="123" t="s">
        <v>111</v>
      </c>
      <c r="T26" s="124" t="s">
        <v>34</v>
      </c>
      <c r="U26" s="125" t="s">
        <v>35</v>
      </c>
    </row>
    <row r="27" spans="1:21" ht="30">
      <c r="A27" s="82">
        <v>8</v>
      </c>
      <c r="B27" s="79" t="s">
        <v>112</v>
      </c>
      <c r="C27" s="83">
        <f>+'B. RAČUN FIN'!C6</f>
        <v>0</v>
      </c>
      <c r="D27" s="83">
        <f>+'B. RAČUN FIN'!C17</f>
        <v>0</v>
      </c>
      <c r="E27" s="83">
        <f>+'B. RAČUN FIN'!C28</f>
        <v>0</v>
      </c>
      <c r="F27" s="71"/>
      <c r="G27" s="71"/>
      <c r="H27" s="71"/>
      <c r="I27" s="71"/>
      <c r="J27" s="71"/>
      <c r="K27" s="128">
        <f t="shared" si="0"/>
        <v>21</v>
      </c>
      <c r="L27" s="126" t="str">
        <f t="shared" si="1"/>
        <v>48267 SVEUČILIŠTE SJEVER</v>
      </c>
      <c r="M27" s="126">
        <v>48267</v>
      </c>
      <c r="N27" s="129" t="s">
        <v>113</v>
      </c>
      <c r="O27" s="130" t="s">
        <v>113</v>
      </c>
      <c r="P27" s="129" t="s">
        <v>114</v>
      </c>
      <c r="Q27" s="129" t="s">
        <v>115</v>
      </c>
      <c r="R27" s="127">
        <v>2752298</v>
      </c>
      <c r="S27" s="123" t="s">
        <v>116</v>
      </c>
      <c r="T27" s="124" t="s">
        <v>34</v>
      </c>
      <c r="U27" s="125" t="s">
        <v>35</v>
      </c>
    </row>
    <row r="28" spans="1:21" ht="30">
      <c r="A28" s="82">
        <v>5</v>
      </c>
      <c r="B28" s="79" t="s">
        <v>117</v>
      </c>
      <c r="C28" s="83">
        <f>+'B. RAČUN FIN'!C11</f>
        <v>0</v>
      </c>
      <c r="D28" s="83">
        <f>+'B. RAČUN FIN'!C22</f>
        <v>0</v>
      </c>
      <c r="E28" s="83">
        <f>+'B. RAČUN FIN'!C33</f>
        <v>0</v>
      </c>
      <c r="F28" s="95"/>
      <c r="G28" s="71"/>
      <c r="H28" s="71"/>
      <c r="I28" s="71"/>
      <c r="J28" s="71"/>
      <c r="K28" s="128">
        <f t="shared" si="0"/>
        <v>22</v>
      </c>
      <c r="L28" s="126" t="str">
        <f t="shared" si="1"/>
        <v>24141 SVEUČILIŠTE U DUBROVNIKU</v>
      </c>
      <c r="M28" s="126">
        <v>24141</v>
      </c>
      <c r="N28" s="129" t="s">
        <v>118</v>
      </c>
      <c r="O28" s="130" t="s">
        <v>118</v>
      </c>
      <c r="P28" s="129" t="s">
        <v>119</v>
      </c>
      <c r="Q28" s="129" t="s">
        <v>120</v>
      </c>
      <c r="R28" s="127">
        <v>1787578</v>
      </c>
      <c r="S28" s="123" t="s">
        <v>121</v>
      </c>
      <c r="T28" s="124" t="s">
        <v>34</v>
      </c>
      <c r="U28" s="125" t="s">
        <v>35</v>
      </c>
    </row>
    <row r="29" spans="1:21" ht="30">
      <c r="A29" s="90" t="s">
        <v>122</v>
      </c>
      <c r="B29" s="217" t="s">
        <v>123</v>
      </c>
      <c r="C29" s="88">
        <v>1301707.6200000001</v>
      </c>
      <c r="D29" s="88">
        <v>906571</v>
      </c>
      <c r="E29" s="88">
        <v>1225636.81</v>
      </c>
      <c r="F29" s="71"/>
      <c r="G29" s="71"/>
      <c r="H29" s="71"/>
      <c r="I29" s="71"/>
      <c r="J29" s="71"/>
      <c r="K29" s="128">
        <f t="shared" si="0"/>
        <v>23</v>
      </c>
      <c r="L29" s="126" t="str">
        <f t="shared" si="1"/>
        <v>2444 SVEUČILIŠTE U RIJECI</v>
      </c>
      <c r="M29" s="126">
        <v>2444</v>
      </c>
      <c r="N29" s="129" t="s">
        <v>124</v>
      </c>
      <c r="O29" s="76" t="s">
        <v>124</v>
      </c>
      <c r="P29" s="129" t="s">
        <v>125</v>
      </c>
      <c r="Q29" s="129" t="s">
        <v>126</v>
      </c>
      <c r="R29" s="127">
        <v>3337413</v>
      </c>
      <c r="S29" s="123" t="s">
        <v>127</v>
      </c>
      <c r="T29" s="124" t="s">
        <v>34</v>
      </c>
      <c r="U29" s="125" t="s">
        <v>35</v>
      </c>
    </row>
    <row r="30" spans="1:21" ht="30">
      <c r="A30" s="90" t="s">
        <v>128</v>
      </c>
      <c r="B30" s="217" t="s">
        <v>129</v>
      </c>
      <c r="C30" s="92">
        <v>-1068849</v>
      </c>
      <c r="D30" s="92">
        <v>-1190656</v>
      </c>
      <c r="E30" s="93">
        <v>-1021369</v>
      </c>
      <c r="F30" s="71"/>
      <c r="G30" s="71"/>
      <c r="H30" s="71"/>
      <c r="I30" s="71"/>
      <c r="J30" s="71"/>
      <c r="K30" s="128">
        <f t="shared" si="0"/>
        <v>24</v>
      </c>
      <c r="L30" s="126" t="str">
        <f t="shared" si="1"/>
        <v>38454 SVEUČILIŠTE U RIJECI - AKADEMIJA PRIMJENJENIH UMJETNOSTI</v>
      </c>
      <c r="M30" s="126">
        <v>38454</v>
      </c>
      <c r="N30" s="129" t="s">
        <v>130</v>
      </c>
      <c r="O30" s="76" t="s">
        <v>124</v>
      </c>
      <c r="P30" s="129" t="s">
        <v>131</v>
      </c>
      <c r="Q30" s="129" t="s">
        <v>126</v>
      </c>
      <c r="R30" s="127">
        <v>1954253</v>
      </c>
      <c r="S30" s="123" t="s">
        <v>132</v>
      </c>
      <c r="T30" s="124" t="s">
        <v>34</v>
      </c>
      <c r="U30" s="125" t="s">
        <v>35</v>
      </c>
    </row>
    <row r="31" spans="1:21" ht="15">
      <c r="A31" s="79"/>
      <c r="B31" s="79" t="s">
        <v>133</v>
      </c>
      <c r="C31" s="87">
        <f>+C27-C28+C29+C30</f>
        <v>232858.62000000011</v>
      </c>
      <c r="D31" s="87">
        <f t="shared" ref="D31:E31" si="2">+D27-D28+D29+D30</f>
        <v>-284085</v>
      </c>
      <c r="E31" s="87">
        <f t="shared" si="2"/>
        <v>204267.81000000006</v>
      </c>
      <c r="F31" s="71"/>
      <c r="G31" s="98"/>
      <c r="H31" s="71"/>
      <c r="I31" s="71"/>
      <c r="J31" s="71"/>
      <c r="K31" s="128">
        <f t="shared" si="0"/>
        <v>25</v>
      </c>
      <c r="L31" s="126" t="str">
        <f t="shared" si="1"/>
        <v>2186 SVEUČILIŠTE U RIJECI - EKONOMSKI FAKULTET</v>
      </c>
      <c r="M31" s="126">
        <v>2186</v>
      </c>
      <c r="N31" s="129" t="s">
        <v>134</v>
      </c>
      <c r="O31" s="76" t="s">
        <v>124</v>
      </c>
      <c r="P31" s="129" t="s">
        <v>135</v>
      </c>
      <c r="Q31" s="129" t="s">
        <v>126</v>
      </c>
      <c r="R31" s="127">
        <v>3328627</v>
      </c>
      <c r="S31" s="123" t="s">
        <v>136</v>
      </c>
      <c r="T31" s="124" t="s">
        <v>34</v>
      </c>
      <c r="U31" s="125" t="s">
        <v>35</v>
      </c>
    </row>
    <row r="32" spans="1:21" ht="18.75" customHeight="1">
      <c r="B32" s="261"/>
      <c r="C32" s="279"/>
      <c r="D32" s="279"/>
      <c r="E32" s="279"/>
      <c r="F32" s="71"/>
      <c r="G32" s="71"/>
      <c r="H32" s="71"/>
      <c r="I32" s="71"/>
      <c r="J32" s="71"/>
      <c r="K32" s="128">
        <f t="shared" si="0"/>
        <v>26</v>
      </c>
      <c r="L32" s="126" t="str">
        <f t="shared" si="1"/>
        <v>2194 SVEUČILIŠTE U RIJECI - FAKULTET ZA MENADŽMENT U TURIZMU I UGOSTITELJSTVU</v>
      </c>
      <c r="M32" s="126">
        <v>2194</v>
      </c>
      <c r="N32" s="129" t="s">
        <v>137</v>
      </c>
      <c r="O32" s="76" t="s">
        <v>124</v>
      </c>
      <c r="P32" s="129" t="s">
        <v>138</v>
      </c>
      <c r="Q32" s="129" t="s">
        <v>139</v>
      </c>
      <c r="R32" s="127">
        <v>3091732</v>
      </c>
      <c r="S32" s="123" t="s">
        <v>140</v>
      </c>
      <c r="T32" s="124" t="s">
        <v>34</v>
      </c>
      <c r="U32" s="125" t="s">
        <v>35</v>
      </c>
    </row>
    <row r="33" spans="1:21" ht="30">
      <c r="A33" s="96"/>
      <c r="B33" s="96" t="s">
        <v>141</v>
      </c>
      <c r="C33" s="97">
        <f>+C22+C31</f>
        <v>-0.37999999988824129</v>
      </c>
      <c r="D33" s="97">
        <f>+D22+D31</f>
        <v>-55041</v>
      </c>
      <c r="E33" s="97">
        <f>+E22+E31</f>
        <v>-0.18999999994412065</v>
      </c>
      <c r="F33" s="99"/>
      <c r="G33" s="100"/>
      <c r="H33" s="100"/>
      <c r="I33" s="100"/>
      <c r="J33" s="100"/>
      <c r="K33" s="128">
        <f t="shared" si="0"/>
        <v>27</v>
      </c>
      <c r="L33" s="126" t="str">
        <f t="shared" si="1"/>
        <v>48023 SVEUČILIŠTE U RIJECI - FAKULTET ZDRAVSTVENIH STUDIJA U RIJECI</v>
      </c>
      <c r="M33" s="126">
        <v>48023</v>
      </c>
      <c r="N33" s="129" t="s">
        <v>142</v>
      </c>
      <c r="O33" s="76" t="s">
        <v>124</v>
      </c>
      <c r="P33" s="129" t="s">
        <v>143</v>
      </c>
      <c r="Q33" s="129" t="s">
        <v>126</v>
      </c>
      <c r="R33" s="127" t="s">
        <v>144</v>
      </c>
      <c r="S33" s="123" t="s">
        <v>145</v>
      </c>
      <c r="T33" s="124" t="s">
        <v>34</v>
      </c>
      <c r="U33" s="125" t="s">
        <v>35</v>
      </c>
    </row>
    <row r="34" spans="1:21" ht="15">
      <c r="A34" s="77"/>
      <c r="B34" s="77"/>
      <c r="C34" s="71"/>
      <c r="D34" s="71"/>
      <c r="E34" s="71"/>
      <c r="F34" s="71"/>
      <c r="G34" s="71"/>
      <c r="H34" s="71"/>
      <c r="I34" s="71"/>
      <c r="J34" s="71"/>
      <c r="K34" s="128">
        <f t="shared" si="0"/>
        <v>28</v>
      </c>
      <c r="L34" s="126" t="str">
        <f t="shared" si="1"/>
        <v>22857 SVEUČILIŠTE U RIJECI - FILOZOFSKI FAKULTET</v>
      </c>
      <c r="M34" s="126">
        <v>22857</v>
      </c>
      <c r="N34" s="129" t="s">
        <v>146</v>
      </c>
      <c r="O34" s="76" t="s">
        <v>124</v>
      </c>
      <c r="P34" s="129" t="s">
        <v>147</v>
      </c>
      <c r="Q34" s="129" t="s">
        <v>126</v>
      </c>
      <c r="R34" s="127">
        <v>3368491</v>
      </c>
      <c r="S34" s="123" t="s">
        <v>148</v>
      </c>
      <c r="T34" s="124" t="s">
        <v>34</v>
      </c>
      <c r="U34" s="125" t="s">
        <v>35</v>
      </c>
    </row>
    <row r="35" spans="1:21" ht="15.7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128">
        <f t="shared" si="0"/>
        <v>29</v>
      </c>
      <c r="L35" s="126" t="str">
        <f t="shared" si="1"/>
        <v>2160 SVEUČILIŠTE U RIJECI - GRAĐEVINSKI FAKULTET</v>
      </c>
      <c r="M35" s="126">
        <v>2160</v>
      </c>
      <c r="N35" s="129" t="s">
        <v>149</v>
      </c>
      <c r="O35" s="76" t="s">
        <v>124</v>
      </c>
      <c r="P35" s="129" t="s">
        <v>150</v>
      </c>
      <c r="Q35" s="129" t="s">
        <v>126</v>
      </c>
      <c r="R35" s="127">
        <v>3395855</v>
      </c>
      <c r="S35" s="123" t="s">
        <v>151</v>
      </c>
      <c r="T35" s="124" t="s">
        <v>34</v>
      </c>
      <c r="U35" s="125" t="s">
        <v>35</v>
      </c>
    </row>
    <row r="36" spans="1:21" ht="15.7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128">
        <f t="shared" si="0"/>
        <v>30</v>
      </c>
      <c r="L36" s="126" t="str">
        <f t="shared" si="1"/>
        <v>2225 SVEUČILIŠTE U RIJECI - MEDICINSKI FAKULTET</v>
      </c>
      <c r="M36" s="126">
        <v>2225</v>
      </c>
      <c r="N36" s="129" t="s">
        <v>152</v>
      </c>
      <c r="O36" s="76" t="s">
        <v>124</v>
      </c>
      <c r="P36" s="129" t="s">
        <v>153</v>
      </c>
      <c r="Q36" s="129" t="s">
        <v>126</v>
      </c>
      <c r="R36" s="127">
        <v>3328554</v>
      </c>
      <c r="S36" s="123" t="s">
        <v>154</v>
      </c>
      <c r="T36" s="124" t="s">
        <v>34</v>
      </c>
      <c r="U36" s="125" t="s">
        <v>35</v>
      </c>
    </row>
    <row r="37" spans="1:21" ht="15.7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128">
        <f t="shared" si="0"/>
        <v>31</v>
      </c>
      <c r="L37" s="126" t="str">
        <f t="shared" si="1"/>
        <v>22568 SVEUČILIŠTE U RIJECI - POMORSKI FAKULTET</v>
      </c>
      <c r="M37" s="126">
        <v>22568</v>
      </c>
      <c r="N37" s="129" t="s">
        <v>155</v>
      </c>
      <c r="O37" s="76" t="s">
        <v>124</v>
      </c>
      <c r="P37" s="129" t="s">
        <v>156</v>
      </c>
      <c r="Q37" s="129" t="s">
        <v>126</v>
      </c>
      <c r="R37" s="127">
        <v>1580485</v>
      </c>
      <c r="S37" s="123" t="s">
        <v>157</v>
      </c>
      <c r="T37" s="124" t="s">
        <v>34</v>
      </c>
      <c r="U37" s="125" t="s">
        <v>35</v>
      </c>
    </row>
    <row r="38" spans="1:21" ht="15.7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128">
        <f t="shared" si="0"/>
        <v>32</v>
      </c>
      <c r="L38" s="126" t="str">
        <f t="shared" si="1"/>
        <v>2217 SVEUČILIŠTE U RIJECI - PRAVNI FAKULTET</v>
      </c>
      <c r="M38" s="126">
        <v>2217</v>
      </c>
      <c r="N38" s="129" t="s">
        <v>158</v>
      </c>
      <c r="O38" s="76" t="s">
        <v>124</v>
      </c>
      <c r="P38" s="129" t="s">
        <v>159</v>
      </c>
      <c r="Q38" s="129" t="s">
        <v>126</v>
      </c>
      <c r="R38" s="127">
        <v>3328562</v>
      </c>
      <c r="S38" s="123" t="s">
        <v>160</v>
      </c>
      <c r="T38" s="124" t="s">
        <v>34</v>
      </c>
      <c r="U38" s="125" t="s">
        <v>35</v>
      </c>
    </row>
    <row r="39" spans="1:21" ht="15.7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128">
        <f t="shared" si="0"/>
        <v>33</v>
      </c>
      <c r="L39" s="126" t="str">
        <f t="shared" si="1"/>
        <v>2493 SVEUČILIŠTE U RIJECI - SVEUČILIŠNA KNJIŽNICA</v>
      </c>
      <c r="M39" s="126">
        <v>2493</v>
      </c>
      <c r="N39" s="129" t="s">
        <v>161</v>
      </c>
      <c r="O39" s="76" t="s">
        <v>124</v>
      </c>
      <c r="P39" s="129" t="s">
        <v>162</v>
      </c>
      <c r="Q39" s="129" t="s">
        <v>126</v>
      </c>
      <c r="R39" s="127">
        <v>3328686</v>
      </c>
      <c r="S39" s="123" t="s">
        <v>163</v>
      </c>
      <c r="T39" s="124" t="s">
        <v>34</v>
      </c>
      <c r="U39" s="125" t="s">
        <v>35</v>
      </c>
    </row>
    <row r="40" spans="1:21" ht="15.7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128">
        <f t="shared" si="0"/>
        <v>34</v>
      </c>
      <c r="L40" s="126" t="str">
        <f t="shared" si="1"/>
        <v>2151 SVEUČILIŠTE U RIJECI - TEHNIČKI FAKULTET</v>
      </c>
      <c r="M40" s="126">
        <v>2151</v>
      </c>
      <c r="N40" s="129" t="s">
        <v>164</v>
      </c>
      <c r="O40" s="76" t="s">
        <v>124</v>
      </c>
      <c r="P40" s="129" t="s">
        <v>165</v>
      </c>
      <c r="Q40" s="129" t="s">
        <v>126</v>
      </c>
      <c r="R40" s="127">
        <v>3334317</v>
      </c>
      <c r="S40" s="123" t="s">
        <v>166</v>
      </c>
      <c r="T40" s="124" t="s">
        <v>34</v>
      </c>
      <c r="U40" s="125" t="s">
        <v>35</v>
      </c>
    </row>
    <row r="41" spans="1:21" ht="15.7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128">
        <f t="shared" si="0"/>
        <v>35</v>
      </c>
      <c r="L41" s="126" t="str">
        <f t="shared" si="1"/>
        <v>40947 SVEUČILIŠTE U RIJECI - UČITELJSKI FAKULTET</v>
      </c>
      <c r="M41" s="126">
        <v>40947</v>
      </c>
      <c r="N41" s="129" t="s">
        <v>167</v>
      </c>
      <c r="O41" s="76" t="s">
        <v>124</v>
      </c>
      <c r="P41" s="129" t="s">
        <v>168</v>
      </c>
      <c r="Q41" s="129" t="s">
        <v>126</v>
      </c>
      <c r="R41" s="127">
        <v>2116073</v>
      </c>
      <c r="S41" s="123" t="s">
        <v>169</v>
      </c>
      <c r="T41" s="124" t="s">
        <v>34</v>
      </c>
      <c r="U41" s="125" t="s">
        <v>35</v>
      </c>
    </row>
    <row r="42" spans="1:21" ht="15.7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128">
        <f t="shared" si="0"/>
        <v>36</v>
      </c>
      <c r="L42" s="126" t="str">
        <f t="shared" si="1"/>
        <v>51360 SVEUČILIŠTE U SLAVONSKOM BRODU</v>
      </c>
      <c r="M42" s="126">
        <v>51360</v>
      </c>
      <c r="N42" s="129" t="s">
        <v>170</v>
      </c>
      <c r="O42" s="136" t="s">
        <v>170</v>
      </c>
      <c r="P42" s="129" t="s">
        <v>171</v>
      </c>
      <c r="Q42" s="129" t="s">
        <v>172</v>
      </c>
      <c r="R42" s="127">
        <v>5290538</v>
      </c>
      <c r="S42" s="123" t="s">
        <v>173</v>
      </c>
      <c r="T42" s="124" t="s">
        <v>34</v>
      </c>
      <c r="U42" s="125" t="s">
        <v>35</v>
      </c>
    </row>
    <row r="43" spans="1:21" ht="15.7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128">
        <f t="shared" si="0"/>
        <v>37</v>
      </c>
      <c r="L43" s="126" t="str">
        <f t="shared" si="1"/>
        <v>2469 SVEUČILIŠTE U SPLITU</v>
      </c>
      <c r="M43" s="126">
        <v>2469</v>
      </c>
      <c r="N43" s="129" t="s">
        <v>174</v>
      </c>
      <c r="O43" s="130" t="s">
        <v>174</v>
      </c>
      <c r="P43" s="129" t="s">
        <v>175</v>
      </c>
      <c r="Q43" s="129" t="s">
        <v>176</v>
      </c>
      <c r="R43" s="127">
        <v>3129306</v>
      </c>
      <c r="S43" s="123" t="s">
        <v>177</v>
      </c>
      <c r="T43" s="124" t="s">
        <v>34</v>
      </c>
      <c r="U43" s="125" t="s">
        <v>35</v>
      </c>
    </row>
    <row r="44" spans="1:21" ht="15.7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128">
        <f t="shared" si="0"/>
        <v>38</v>
      </c>
      <c r="L44" s="126" t="str">
        <f t="shared" si="1"/>
        <v>2372 SVEUČILIŠTE U SPLITU - EKONOMSKI FAKULTET</v>
      </c>
      <c r="M44" s="126">
        <v>2372</v>
      </c>
      <c r="N44" s="129" t="s">
        <v>178</v>
      </c>
      <c r="O44" s="130" t="s">
        <v>174</v>
      </c>
      <c r="P44" s="129" t="s">
        <v>179</v>
      </c>
      <c r="Q44" s="129" t="s">
        <v>176</v>
      </c>
      <c r="R44" s="127">
        <v>3119076</v>
      </c>
      <c r="S44" s="123" t="s">
        <v>180</v>
      </c>
      <c r="T44" s="124" t="s">
        <v>34</v>
      </c>
      <c r="U44" s="125" t="s">
        <v>35</v>
      </c>
    </row>
    <row r="45" spans="1:21" ht="15.7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128">
        <f t="shared" si="0"/>
        <v>39</v>
      </c>
      <c r="L45" s="126" t="str">
        <f t="shared" si="1"/>
        <v>2330 SVEUČILIŠTE U SPLITU - FAKULTET ELEKTROTEHNIKE, STROJARSTVA I BRODOGRADNJE</v>
      </c>
      <c r="M45" s="126">
        <v>2330</v>
      </c>
      <c r="N45" s="129" t="s">
        <v>181</v>
      </c>
      <c r="O45" s="130" t="s">
        <v>174</v>
      </c>
      <c r="P45" s="129" t="s">
        <v>182</v>
      </c>
      <c r="Q45" s="129" t="s">
        <v>176</v>
      </c>
      <c r="R45" s="127">
        <v>3118339</v>
      </c>
      <c r="S45" s="123" t="s">
        <v>183</v>
      </c>
      <c r="T45" s="124" t="s">
        <v>34</v>
      </c>
      <c r="U45" s="125" t="s">
        <v>35</v>
      </c>
    </row>
    <row r="46" spans="1:21" ht="15.7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128">
        <f t="shared" si="0"/>
        <v>40</v>
      </c>
      <c r="L46" s="126" t="str">
        <f t="shared" si="1"/>
        <v>2348 SVEUČILIŠTE U SPLITU - FAKULTET GRAĐEVINARSTVA, ARHITEKTURE I GEODEZIJE</v>
      </c>
      <c r="M46" s="126">
        <v>2348</v>
      </c>
      <c r="N46" s="129" t="s">
        <v>184</v>
      </c>
      <c r="O46" s="130" t="s">
        <v>174</v>
      </c>
      <c r="P46" s="129" t="s">
        <v>185</v>
      </c>
      <c r="Q46" s="129" t="s">
        <v>176</v>
      </c>
      <c r="R46" s="127">
        <v>3149463</v>
      </c>
      <c r="S46" s="123" t="s">
        <v>186</v>
      </c>
      <c r="T46" s="124" t="s">
        <v>34</v>
      </c>
      <c r="U46" s="125" t="s">
        <v>35</v>
      </c>
    </row>
    <row r="47" spans="1:21" ht="15.7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128">
        <f t="shared" si="0"/>
        <v>41</v>
      </c>
      <c r="L47" s="126" t="str">
        <f t="shared" si="1"/>
        <v>22435 SVEUČILIŠTE U SPLITU - FILOZOFSKI FAKULTET</v>
      </c>
      <c r="M47" s="126">
        <v>22435</v>
      </c>
      <c r="N47" s="129" t="s">
        <v>187</v>
      </c>
      <c r="O47" s="130" t="s">
        <v>174</v>
      </c>
      <c r="P47" s="129" t="s">
        <v>175</v>
      </c>
      <c r="Q47" s="129" t="s">
        <v>176</v>
      </c>
      <c r="R47" s="127">
        <v>1413236</v>
      </c>
      <c r="S47" s="123" t="s">
        <v>188</v>
      </c>
      <c r="T47" s="124" t="s">
        <v>34</v>
      </c>
      <c r="U47" s="125" t="s">
        <v>35</v>
      </c>
    </row>
    <row r="48" spans="1:21" ht="15.7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128">
        <f t="shared" si="0"/>
        <v>42</v>
      </c>
      <c r="L48" s="126" t="str">
        <f t="shared" si="1"/>
        <v>23368 SVEUČILIŠTE U SPLITU - KATOLIČKI BOGOSLOVNI FAKULTET</v>
      </c>
      <c r="M48" s="126">
        <v>23368</v>
      </c>
      <c r="N48" s="129" t="s">
        <v>189</v>
      </c>
      <c r="O48" s="130" t="s">
        <v>174</v>
      </c>
      <c r="P48" s="129" t="s">
        <v>190</v>
      </c>
      <c r="Q48" s="129" t="s">
        <v>176</v>
      </c>
      <c r="R48" s="127">
        <v>1465643</v>
      </c>
      <c r="S48" s="123">
        <v>36149548625</v>
      </c>
      <c r="T48" s="124" t="s">
        <v>34</v>
      </c>
      <c r="U48" s="125" t="s">
        <v>35</v>
      </c>
    </row>
    <row r="49" spans="1:21" ht="15.7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128">
        <f t="shared" si="0"/>
        <v>43</v>
      </c>
      <c r="L49" s="126" t="str">
        <f t="shared" si="1"/>
        <v>2356 SVEUČILIŠTE U SPLITU - KEMIJSKO-TEHNOLOŠKI FAKULTET</v>
      </c>
      <c r="M49" s="126">
        <v>2356</v>
      </c>
      <c r="N49" s="129" t="s">
        <v>191</v>
      </c>
      <c r="O49" s="130" t="s">
        <v>174</v>
      </c>
      <c r="P49" s="129" t="s">
        <v>192</v>
      </c>
      <c r="Q49" s="129" t="s">
        <v>176</v>
      </c>
      <c r="R49" s="127">
        <v>3119068</v>
      </c>
      <c r="S49" s="123" t="s">
        <v>193</v>
      </c>
      <c r="T49" s="124" t="s">
        <v>34</v>
      </c>
      <c r="U49" s="125" t="s">
        <v>35</v>
      </c>
    </row>
    <row r="50" spans="1:21" ht="15.7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128">
        <f t="shared" si="0"/>
        <v>44</v>
      </c>
      <c r="L50" s="126" t="str">
        <f t="shared" si="1"/>
        <v>43773 SVEUČILIŠTE U SPLITU - KINEZIOLOŠKI FAKULTET</v>
      </c>
      <c r="M50" s="126">
        <v>43773</v>
      </c>
      <c r="N50" s="129" t="s">
        <v>194</v>
      </c>
      <c r="O50" s="130" t="s">
        <v>174</v>
      </c>
      <c r="P50" s="129" t="s">
        <v>195</v>
      </c>
      <c r="Q50" s="129" t="s">
        <v>176</v>
      </c>
      <c r="R50" s="127">
        <v>2393255</v>
      </c>
      <c r="S50" s="123" t="s">
        <v>196</v>
      </c>
      <c r="T50" s="124" t="s">
        <v>34</v>
      </c>
      <c r="U50" s="125" t="s">
        <v>35</v>
      </c>
    </row>
    <row r="51" spans="1:21" ht="15.7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128">
        <f t="shared" si="0"/>
        <v>45</v>
      </c>
      <c r="L51" s="126" t="str">
        <f t="shared" si="1"/>
        <v>22451 SVEUČILIŠTE U SPLITU - MEDICINSKI FAKULTET</v>
      </c>
      <c r="M51" s="126">
        <v>22451</v>
      </c>
      <c r="N51" s="129" t="s">
        <v>197</v>
      </c>
      <c r="O51" s="130" t="s">
        <v>174</v>
      </c>
      <c r="P51" s="129" t="s">
        <v>198</v>
      </c>
      <c r="Q51" s="129" t="s">
        <v>176</v>
      </c>
      <c r="R51" s="127">
        <v>1315366</v>
      </c>
      <c r="S51" s="123" t="s">
        <v>199</v>
      </c>
      <c r="T51" s="124" t="s">
        <v>34</v>
      </c>
      <c r="U51" s="125" t="s">
        <v>35</v>
      </c>
    </row>
    <row r="52" spans="1:21" ht="15.7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128">
        <f t="shared" si="0"/>
        <v>46</v>
      </c>
      <c r="L52" s="126" t="str">
        <f t="shared" si="1"/>
        <v>22460 SVEUČILIŠTE U SPLITU - POMORSKI FAKULTET</v>
      </c>
      <c r="M52" s="126">
        <v>22460</v>
      </c>
      <c r="N52" s="129" t="s">
        <v>200</v>
      </c>
      <c r="O52" s="130" t="s">
        <v>174</v>
      </c>
      <c r="P52" s="129" t="s">
        <v>201</v>
      </c>
      <c r="Q52" s="129" t="s">
        <v>176</v>
      </c>
      <c r="R52" s="127">
        <v>1406043</v>
      </c>
      <c r="S52" s="123" t="s">
        <v>202</v>
      </c>
      <c r="T52" s="124" t="s">
        <v>34</v>
      </c>
      <c r="U52" s="125" t="s">
        <v>35</v>
      </c>
    </row>
    <row r="53" spans="1:21" ht="15.7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128">
        <f t="shared" si="0"/>
        <v>47</v>
      </c>
      <c r="L53" s="126" t="str">
        <f t="shared" si="1"/>
        <v>2397 SVEUČILIŠTE U SPLITU - PRAVNI FAKULTET</v>
      </c>
      <c r="M53" s="126">
        <v>2397</v>
      </c>
      <c r="N53" s="129" t="s">
        <v>203</v>
      </c>
      <c r="O53" s="130" t="s">
        <v>174</v>
      </c>
      <c r="P53" s="129" t="s">
        <v>204</v>
      </c>
      <c r="Q53" s="129" t="s">
        <v>176</v>
      </c>
      <c r="R53" s="127">
        <v>3118347</v>
      </c>
      <c r="S53" s="123" t="s">
        <v>205</v>
      </c>
      <c r="T53" s="124" t="s">
        <v>34</v>
      </c>
      <c r="U53" s="125" t="s">
        <v>35</v>
      </c>
    </row>
    <row r="54" spans="1:21" ht="15.7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128">
        <f t="shared" si="0"/>
        <v>48</v>
      </c>
      <c r="L54" s="126" t="str">
        <f t="shared" si="1"/>
        <v>2410 SVEUČILIŠTE U SPLITU - PRIRODOSLOVNO - MATEMATIČKI FAKULTET</v>
      </c>
      <c r="M54" s="126">
        <v>2410</v>
      </c>
      <c r="N54" s="129" t="s">
        <v>206</v>
      </c>
      <c r="O54" s="130" t="s">
        <v>174</v>
      </c>
      <c r="P54" s="129" t="s">
        <v>207</v>
      </c>
      <c r="Q54" s="129" t="s">
        <v>176</v>
      </c>
      <c r="R54" s="127">
        <v>3199622</v>
      </c>
      <c r="S54" s="123" t="s">
        <v>208</v>
      </c>
      <c r="T54" s="124" t="s">
        <v>34</v>
      </c>
      <c r="U54" s="125" t="s">
        <v>35</v>
      </c>
    </row>
    <row r="55" spans="1:21" ht="15.75">
      <c r="B55" s="260" t="s">
        <v>209</v>
      </c>
      <c r="C55" s="279"/>
      <c r="D55" s="279"/>
      <c r="E55" s="279"/>
      <c r="F55" s="71"/>
      <c r="G55" s="71"/>
      <c r="H55" s="71"/>
      <c r="I55" s="71"/>
      <c r="J55" s="71"/>
      <c r="K55" s="128">
        <f t="shared" si="0"/>
        <v>49</v>
      </c>
      <c r="L55" s="126" t="str">
        <f t="shared" si="1"/>
        <v>2524 SVEUČILIŠTE U SPLITU - SVEUČILIŠNA KNJIŽNICA</v>
      </c>
      <c r="M55" s="126">
        <v>2524</v>
      </c>
      <c r="N55" s="129" t="s">
        <v>210</v>
      </c>
      <c r="O55" s="130" t="s">
        <v>174</v>
      </c>
      <c r="P55" s="129" t="s">
        <v>211</v>
      </c>
      <c r="Q55" s="129" t="s">
        <v>176</v>
      </c>
      <c r="R55" s="127">
        <v>3118436</v>
      </c>
      <c r="S55" s="123" t="s">
        <v>212</v>
      </c>
      <c r="T55" s="124" t="s">
        <v>34</v>
      </c>
      <c r="U55" s="125" t="s">
        <v>35</v>
      </c>
    </row>
    <row r="56" spans="1:21" ht="15.75">
      <c r="B56" s="218"/>
      <c r="F56" s="71"/>
      <c r="G56" s="71"/>
      <c r="H56" s="71"/>
      <c r="I56" s="71"/>
      <c r="J56" s="71"/>
      <c r="K56" s="128">
        <f t="shared" si="0"/>
        <v>50</v>
      </c>
      <c r="L56" s="126" t="str">
        <f t="shared" si="1"/>
        <v>22478 SVEUČILIŠTE U SPLITU - UMJETNIČKA AKADEMIJA</v>
      </c>
      <c r="M56" s="126">
        <v>22478</v>
      </c>
      <c r="N56" s="129" t="s">
        <v>213</v>
      </c>
      <c r="O56" s="130" t="s">
        <v>174</v>
      </c>
      <c r="P56" s="129" t="s">
        <v>214</v>
      </c>
      <c r="Q56" s="129" t="s">
        <v>176</v>
      </c>
      <c r="R56" s="127">
        <v>1321358</v>
      </c>
      <c r="S56" s="123" t="s">
        <v>215</v>
      </c>
      <c r="T56" s="124" t="s">
        <v>34</v>
      </c>
      <c r="U56" s="125" t="s">
        <v>35</v>
      </c>
    </row>
    <row r="57" spans="1:21" ht="15.75">
      <c r="B57" s="260" t="s">
        <v>47</v>
      </c>
      <c r="C57" s="279"/>
      <c r="D57" s="279"/>
      <c r="E57" s="279"/>
      <c r="F57" s="71"/>
      <c r="G57" s="71"/>
      <c r="H57" s="71"/>
      <c r="I57" s="71"/>
      <c r="J57" s="71"/>
      <c r="K57" s="128">
        <f t="shared" si="0"/>
        <v>51</v>
      </c>
      <c r="L57" s="126" t="str">
        <f t="shared" si="1"/>
        <v>23815 SVEUČILIŠTE U ZADRU</v>
      </c>
      <c r="M57" s="126">
        <v>23815</v>
      </c>
      <c r="N57" s="129" t="s">
        <v>216</v>
      </c>
      <c r="O57" s="130" t="s">
        <v>216</v>
      </c>
      <c r="P57" s="129" t="s">
        <v>217</v>
      </c>
      <c r="Q57" s="129" t="s">
        <v>218</v>
      </c>
      <c r="R57" s="127">
        <v>1695525</v>
      </c>
      <c r="S57" s="123" t="s">
        <v>219</v>
      </c>
      <c r="T57" s="124" t="s">
        <v>34</v>
      </c>
      <c r="U57" s="125" t="s">
        <v>35</v>
      </c>
    </row>
    <row r="58" spans="1:21" ht="15.75">
      <c r="B58" s="218"/>
      <c r="F58" s="71"/>
      <c r="G58" s="71"/>
      <c r="H58" s="71"/>
      <c r="I58" s="71"/>
      <c r="J58" s="71"/>
      <c r="K58" s="128">
        <f t="shared" si="0"/>
        <v>52</v>
      </c>
      <c r="L58" s="126" t="str">
        <f t="shared" si="1"/>
        <v>2436 SVEUČILIŠTE U ZAGREBU</v>
      </c>
      <c r="M58" s="126">
        <v>2436</v>
      </c>
      <c r="N58" s="129" t="s">
        <v>30</v>
      </c>
      <c r="O58" s="130" t="s">
        <v>30</v>
      </c>
      <c r="P58" s="129" t="s">
        <v>220</v>
      </c>
      <c r="Q58" s="129" t="s">
        <v>25</v>
      </c>
      <c r="R58" s="127">
        <v>3211592</v>
      </c>
      <c r="S58" s="123" t="s">
        <v>221</v>
      </c>
      <c r="T58" s="124" t="s">
        <v>34</v>
      </c>
      <c r="U58" s="125" t="s">
        <v>35</v>
      </c>
    </row>
    <row r="59" spans="1:21" ht="15.75">
      <c r="B59" s="260" t="s">
        <v>54</v>
      </c>
      <c r="C59" s="279"/>
      <c r="D59" s="279"/>
      <c r="E59" s="279"/>
      <c r="F59" s="71"/>
      <c r="G59" s="71"/>
      <c r="H59" s="71"/>
      <c r="I59" s="71"/>
      <c r="J59" s="71"/>
      <c r="K59" s="128">
        <f t="shared" si="0"/>
        <v>53</v>
      </c>
      <c r="L59" s="126" t="str">
        <f t="shared" si="1"/>
        <v>1923 SVEUČILIŠTE U ZAGREBU - AGRONOMSKI FAKULTET</v>
      </c>
      <c r="M59" s="126">
        <v>1923</v>
      </c>
      <c r="N59" s="129" t="s">
        <v>222</v>
      </c>
      <c r="O59" s="130" t="s">
        <v>30</v>
      </c>
      <c r="P59" s="129" t="s">
        <v>223</v>
      </c>
      <c r="Q59" s="129" t="s">
        <v>25</v>
      </c>
      <c r="R59" s="127">
        <v>3283097</v>
      </c>
      <c r="S59" s="123" t="s">
        <v>224</v>
      </c>
      <c r="T59" s="124" t="s">
        <v>34</v>
      </c>
      <c r="U59" s="125" t="s">
        <v>35</v>
      </c>
    </row>
    <row r="60" spans="1:21" ht="15.75">
      <c r="A60" s="77"/>
      <c r="B60" s="77"/>
      <c r="C60" s="71"/>
      <c r="D60" s="71"/>
      <c r="E60" s="159" t="s">
        <v>225</v>
      </c>
      <c r="F60" s="71"/>
      <c r="G60" s="71"/>
      <c r="H60" s="71"/>
      <c r="I60" s="71"/>
      <c r="J60" s="71"/>
      <c r="K60" s="128">
        <f t="shared" si="0"/>
        <v>54</v>
      </c>
      <c r="L60" s="126" t="str">
        <f t="shared" si="1"/>
        <v>1974 SVEUČILIŠTE U ZAGREBU - AKADEMIJA DRAMSKE UMJETNOSTI</v>
      </c>
      <c r="M60" s="126">
        <v>1974</v>
      </c>
      <c r="N60" s="129" t="s">
        <v>226</v>
      </c>
      <c r="O60" s="130" t="s">
        <v>30</v>
      </c>
      <c r="P60" s="129" t="s">
        <v>227</v>
      </c>
      <c r="Q60" s="129" t="s">
        <v>25</v>
      </c>
      <c r="R60" s="127">
        <v>3205029</v>
      </c>
      <c r="S60" s="123" t="s">
        <v>228</v>
      </c>
      <c r="T60" s="124" t="s">
        <v>34</v>
      </c>
      <c r="U60" s="125" t="s">
        <v>35</v>
      </c>
    </row>
    <row r="61" spans="1:21" ht="15" customHeight="1">
      <c r="A61" s="78"/>
      <c r="B61" s="78"/>
      <c r="C61" s="78" t="s">
        <v>229</v>
      </c>
      <c r="D61" s="78" t="s">
        <v>230</v>
      </c>
      <c r="E61" s="78" t="s">
        <v>231</v>
      </c>
      <c r="F61" s="71"/>
      <c r="G61" s="71"/>
      <c r="H61" s="71"/>
      <c r="I61" s="71"/>
      <c r="J61" s="71"/>
      <c r="K61" s="128">
        <f t="shared" si="0"/>
        <v>55</v>
      </c>
      <c r="L61" s="126" t="str">
        <f t="shared" si="1"/>
        <v>1982 SVEUČILIŠTE U ZAGREBU - AKADEMIJA LIKOVNIH UMJETNOSTI</v>
      </c>
      <c r="M61" s="126">
        <v>1982</v>
      </c>
      <c r="N61" s="129" t="s">
        <v>232</v>
      </c>
      <c r="O61" s="130" t="s">
        <v>30</v>
      </c>
      <c r="P61" s="129" t="s">
        <v>233</v>
      </c>
      <c r="Q61" s="129" t="s">
        <v>25</v>
      </c>
      <c r="R61" s="127">
        <v>3207919</v>
      </c>
      <c r="S61" s="123" t="s">
        <v>234</v>
      </c>
      <c r="T61" s="124" t="s">
        <v>34</v>
      </c>
      <c r="U61" s="125" t="s">
        <v>35</v>
      </c>
    </row>
    <row r="62" spans="1:21" ht="15.75">
      <c r="A62" s="79"/>
      <c r="B62" s="79" t="s">
        <v>68</v>
      </c>
      <c r="C62" s="80">
        <f>SUM(C63:C64)</f>
        <v>18917954.118000001</v>
      </c>
      <c r="D62" s="80">
        <f>+D63+D64</f>
        <v>63901963.056000002</v>
      </c>
      <c r="E62" s="80">
        <f>+E63+E64</f>
        <v>22391923.705500003</v>
      </c>
      <c r="F62" s="71"/>
      <c r="G62" s="71"/>
      <c r="H62" s="71"/>
      <c r="I62" s="71"/>
      <c r="J62" s="71"/>
      <c r="K62" s="128">
        <f t="shared" si="0"/>
        <v>56</v>
      </c>
      <c r="L62" s="126" t="str">
        <f t="shared" si="1"/>
        <v xml:space="preserve">1861 SVEUČILIŠTE U ZAGREBU - ARHITEKTONSKI FAKULTET </v>
      </c>
      <c r="M62" s="126">
        <v>1861</v>
      </c>
      <c r="N62" s="129" t="s">
        <v>235</v>
      </c>
      <c r="O62" s="130" t="s">
        <v>30</v>
      </c>
      <c r="P62" s="129" t="s">
        <v>236</v>
      </c>
      <c r="Q62" s="129" t="s">
        <v>25</v>
      </c>
      <c r="R62" s="127">
        <v>3204952</v>
      </c>
      <c r="S62" s="123" t="s">
        <v>237</v>
      </c>
      <c r="T62" s="124" t="s">
        <v>34</v>
      </c>
      <c r="U62" s="125" t="s">
        <v>35</v>
      </c>
    </row>
    <row r="63" spans="1:21" ht="15" customHeight="1">
      <c r="A63" s="82">
        <v>6</v>
      </c>
      <c r="B63" s="79" t="s">
        <v>72</v>
      </c>
      <c r="C63" s="83">
        <f>+C17*7.5345</f>
        <v>18917954.118000001</v>
      </c>
      <c r="D63" s="83">
        <f t="shared" ref="D63:E63" si="3">+D17*7.5345</f>
        <v>63891964.774500005</v>
      </c>
      <c r="E63" s="83">
        <f t="shared" si="3"/>
        <v>22391923.705500003</v>
      </c>
      <c r="F63" s="71"/>
      <c r="G63" s="71"/>
      <c r="H63" s="71"/>
      <c r="I63" s="71"/>
      <c r="J63" s="71"/>
      <c r="K63" s="128">
        <f t="shared" si="0"/>
        <v>57</v>
      </c>
      <c r="L63" s="126" t="str">
        <f t="shared" si="1"/>
        <v xml:space="preserve">1966 SVEUČILIŠTE U ZAGREBU - EDUKACIJSKO-REHABILITACIJSKI FAKULTET </v>
      </c>
      <c r="M63" s="126">
        <v>1966</v>
      </c>
      <c r="N63" s="129" t="s">
        <v>238</v>
      </c>
      <c r="O63" s="130" t="s">
        <v>30</v>
      </c>
      <c r="P63" s="129" t="s">
        <v>239</v>
      </c>
      <c r="Q63" s="129" t="s">
        <v>25</v>
      </c>
      <c r="R63" s="127">
        <v>3219780</v>
      </c>
      <c r="S63" s="123" t="s">
        <v>240</v>
      </c>
      <c r="T63" s="124" t="s">
        <v>34</v>
      </c>
      <c r="U63" s="125" t="s">
        <v>35</v>
      </c>
    </row>
    <row r="64" spans="1:21" ht="15.75">
      <c r="A64" s="82">
        <v>7</v>
      </c>
      <c r="B64" s="84" t="s">
        <v>76</v>
      </c>
      <c r="C64" s="83">
        <f>+C18*7.5345</f>
        <v>0</v>
      </c>
      <c r="D64" s="83">
        <f t="shared" ref="D64:E67" si="4">+D18*7.5345</f>
        <v>9998.281500000001</v>
      </c>
      <c r="E64" s="83">
        <f t="shared" si="4"/>
        <v>0</v>
      </c>
      <c r="F64" s="71"/>
      <c r="G64" s="71"/>
      <c r="H64" s="71"/>
      <c r="I64" s="71"/>
      <c r="J64" s="71"/>
      <c r="K64" s="128">
        <f t="shared" si="0"/>
        <v>58</v>
      </c>
      <c r="L64" s="126" t="str">
        <f t="shared" si="1"/>
        <v>1931 SVEUČILIŠTE U ZAGREBU - EKONOMSKI FAKULTET</v>
      </c>
      <c r="M64" s="126">
        <v>1931</v>
      </c>
      <c r="N64" s="129" t="s">
        <v>241</v>
      </c>
      <c r="O64" s="130" t="s">
        <v>30</v>
      </c>
      <c r="P64" s="129" t="s">
        <v>242</v>
      </c>
      <c r="Q64" s="129" t="s">
        <v>25</v>
      </c>
      <c r="R64" s="127">
        <v>3272079</v>
      </c>
      <c r="S64" s="123" t="s">
        <v>243</v>
      </c>
      <c r="T64" s="124" t="s">
        <v>34</v>
      </c>
      <c r="U64" s="125" t="s">
        <v>35</v>
      </c>
    </row>
    <row r="65" spans="1:21" ht="15" customHeight="1">
      <c r="A65" s="86"/>
      <c r="B65" s="84" t="s">
        <v>80</v>
      </c>
      <c r="C65" s="87">
        <f>SUM(C66:C67)</f>
        <v>20672430.2535</v>
      </c>
      <c r="D65" s="87">
        <f>+D66+D67</f>
        <v>62176231.038000003</v>
      </c>
      <c r="E65" s="87">
        <f>+E66+E67</f>
        <v>23930980.951500002</v>
      </c>
      <c r="F65" s="71"/>
      <c r="G65" s="71"/>
      <c r="H65" s="71"/>
      <c r="I65" s="71"/>
      <c r="J65" s="71"/>
      <c r="K65" s="128">
        <f t="shared" si="0"/>
        <v>59</v>
      </c>
      <c r="L65" s="126" t="str">
        <f t="shared" si="1"/>
        <v>1757 SVEUČILIŠTE U ZAGREBU - FAKULTET ELEKTROTEHNIKE I RAČUNARSTVA</v>
      </c>
      <c r="M65" s="126">
        <v>1757</v>
      </c>
      <c r="N65" s="131" t="s">
        <v>244</v>
      </c>
      <c r="O65" s="130" t="s">
        <v>30</v>
      </c>
      <c r="P65" s="131" t="s">
        <v>245</v>
      </c>
      <c r="Q65" s="131" t="s">
        <v>25</v>
      </c>
      <c r="R65" s="132">
        <v>3276643</v>
      </c>
      <c r="S65" s="123" t="s">
        <v>246</v>
      </c>
      <c r="T65" s="124" t="s">
        <v>34</v>
      </c>
      <c r="U65" s="125" t="s">
        <v>35</v>
      </c>
    </row>
    <row r="66" spans="1:21" ht="15.75">
      <c r="A66" s="86">
        <v>3</v>
      </c>
      <c r="B66" s="79" t="s">
        <v>84</v>
      </c>
      <c r="C66" s="83">
        <f>+C20*7.5345</f>
        <v>20196129.3015</v>
      </c>
      <c r="D66" s="83">
        <f t="shared" si="4"/>
        <v>47351966.667000003</v>
      </c>
      <c r="E66" s="83">
        <f t="shared" si="4"/>
        <v>23531486.692500003</v>
      </c>
      <c r="F66" s="71"/>
      <c r="G66" s="71"/>
      <c r="H66" s="71"/>
      <c r="I66" s="71"/>
      <c r="J66" s="71"/>
      <c r="K66" s="128">
        <f t="shared" si="0"/>
        <v>60</v>
      </c>
      <c r="L66" s="126" t="str">
        <f t="shared" si="1"/>
        <v>6154 SVEUČILIŠTE U ZAGREBU - FAKULTET FILOZOFIJE I RELIGIJSKIH ZNANOSTI</v>
      </c>
      <c r="M66" s="126">
        <v>6154</v>
      </c>
      <c r="N66" s="129" t="s">
        <v>247</v>
      </c>
      <c r="O66" s="130" t="s">
        <v>30</v>
      </c>
      <c r="P66" s="129" t="s">
        <v>248</v>
      </c>
      <c r="Q66" s="129" t="s">
        <v>25</v>
      </c>
      <c r="R66" s="127">
        <v>1235664</v>
      </c>
      <c r="S66" s="123" t="s">
        <v>249</v>
      </c>
      <c r="T66" s="124" t="s">
        <v>34</v>
      </c>
      <c r="U66" s="125" t="s">
        <v>35</v>
      </c>
    </row>
    <row r="67" spans="1:21" ht="15.75">
      <c r="A67" s="82">
        <v>4</v>
      </c>
      <c r="B67" s="84" t="s">
        <v>89</v>
      </c>
      <c r="C67" s="83">
        <f>+C21*7.5345</f>
        <v>476300.95200000005</v>
      </c>
      <c r="D67" s="83">
        <f t="shared" si="4"/>
        <v>14824264.371000001</v>
      </c>
      <c r="E67" s="83">
        <f t="shared" si="4"/>
        <v>399494.25900000002</v>
      </c>
      <c r="F67" s="71"/>
      <c r="G67" s="71"/>
      <c r="H67" s="71"/>
      <c r="I67" s="71"/>
      <c r="J67" s="71"/>
      <c r="K67" s="128">
        <f t="shared" si="0"/>
        <v>61</v>
      </c>
      <c r="L67" s="126" t="str">
        <f t="shared" si="1"/>
        <v>51191 SVEUČILIŠTE U ZAGREBU - FAKULTET HRVATSKIH STUDIJA</v>
      </c>
      <c r="M67" s="126">
        <v>51191</v>
      </c>
      <c r="N67" s="129" t="s">
        <v>250</v>
      </c>
      <c r="O67" s="130" t="s">
        <v>30</v>
      </c>
      <c r="P67" s="129" t="s">
        <v>251</v>
      </c>
      <c r="Q67" s="129" t="s">
        <v>25</v>
      </c>
      <c r="R67" s="127">
        <v>5214068</v>
      </c>
      <c r="S67" s="123" t="s">
        <v>252</v>
      </c>
      <c r="T67" s="124" t="s">
        <v>34</v>
      </c>
      <c r="U67" s="125" t="s">
        <v>35</v>
      </c>
    </row>
    <row r="68" spans="1:21" ht="15.75">
      <c r="A68" s="79"/>
      <c r="B68" s="79" t="s">
        <v>93</v>
      </c>
      <c r="C68" s="80">
        <f>+C62-C65</f>
        <v>-1754476.1354999989</v>
      </c>
      <c r="D68" s="80">
        <f>+D62-D65</f>
        <v>1725732.0179999992</v>
      </c>
      <c r="E68" s="80">
        <f>+E62-E65</f>
        <v>-1539057.2459999993</v>
      </c>
      <c r="F68" s="71"/>
      <c r="G68" s="71"/>
      <c r="H68" s="71"/>
      <c r="I68" s="71"/>
      <c r="J68" s="71"/>
      <c r="K68" s="128">
        <f t="shared" si="0"/>
        <v>62</v>
      </c>
      <c r="L68" s="126" t="str">
        <f t="shared" si="1"/>
        <v>1790 SVEUČILIŠTE U ZAGREBU - FAKULTET KEMIJSKOG INŽENJERSTVA I TEHNOLOGIJE</v>
      </c>
      <c r="M68" s="126">
        <v>1790</v>
      </c>
      <c r="N68" s="129" t="s">
        <v>253</v>
      </c>
      <c r="O68" s="130" t="s">
        <v>30</v>
      </c>
      <c r="P68" s="129" t="s">
        <v>254</v>
      </c>
      <c r="Q68" s="129" t="s">
        <v>25</v>
      </c>
      <c r="R68" s="127">
        <v>3250270</v>
      </c>
      <c r="S68" s="123" t="s">
        <v>255</v>
      </c>
      <c r="T68" s="124" t="s">
        <v>34</v>
      </c>
      <c r="U68" s="125" t="s">
        <v>35</v>
      </c>
    </row>
    <row r="69" spans="1:21" ht="15.75">
      <c r="B69" s="261"/>
      <c r="C69" s="279"/>
      <c r="D69" s="279"/>
      <c r="E69" s="279"/>
      <c r="F69" s="71"/>
      <c r="G69" s="71"/>
      <c r="H69" s="71"/>
      <c r="I69" s="71"/>
      <c r="J69" s="71"/>
      <c r="K69" s="128">
        <f t="shared" si="0"/>
        <v>63</v>
      </c>
      <c r="L69" s="126" t="str">
        <f t="shared" si="1"/>
        <v>1907 SVEUČILIŠTE U ZAGREBU - FAKULTET POLITIČKIH ZNANOSTI</v>
      </c>
      <c r="M69" s="126">
        <v>1907</v>
      </c>
      <c r="N69" s="129" t="s">
        <v>256</v>
      </c>
      <c r="O69" s="130" t="s">
        <v>30</v>
      </c>
      <c r="P69" s="129" t="s">
        <v>257</v>
      </c>
      <c r="Q69" s="129" t="s">
        <v>25</v>
      </c>
      <c r="R69" s="127">
        <v>3270262</v>
      </c>
      <c r="S69" s="123" t="s">
        <v>258</v>
      </c>
      <c r="T69" s="124" t="s">
        <v>34</v>
      </c>
      <c r="U69" s="125" t="s">
        <v>35</v>
      </c>
    </row>
    <row r="70" spans="1:21" ht="15.75">
      <c r="B70" s="260" t="s">
        <v>100</v>
      </c>
      <c r="C70" s="279"/>
      <c r="D70" s="279"/>
      <c r="E70" s="279"/>
      <c r="F70" s="71"/>
      <c r="G70" s="71"/>
      <c r="H70" s="71"/>
      <c r="I70" s="71"/>
      <c r="J70" s="71"/>
      <c r="K70" s="128">
        <f t="shared" si="0"/>
        <v>64</v>
      </c>
      <c r="L70" s="126" t="str">
        <f t="shared" si="1"/>
        <v>1812 SVEUČILIŠTE U ZAGREBU - FAKULTET PROMETNIH ZNANOSTI</v>
      </c>
      <c r="M70" s="126">
        <v>1812</v>
      </c>
      <c r="N70" s="129" t="s">
        <v>259</v>
      </c>
      <c r="O70" s="130" t="s">
        <v>30</v>
      </c>
      <c r="P70" s="129" t="s">
        <v>260</v>
      </c>
      <c r="Q70" s="129" t="s">
        <v>25</v>
      </c>
      <c r="R70" s="127">
        <v>3260771</v>
      </c>
      <c r="S70" s="123" t="s">
        <v>261</v>
      </c>
      <c r="T70" s="124" t="s">
        <v>34</v>
      </c>
      <c r="U70" s="125" t="s">
        <v>35</v>
      </c>
    </row>
    <row r="71" spans="1:21" ht="15.75">
      <c r="A71" s="77"/>
      <c r="B71" s="77"/>
      <c r="C71" s="71"/>
      <c r="D71" s="71"/>
      <c r="E71" s="159" t="s">
        <v>225</v>
      </c>
      <c r="F71" s="71"/>
      <c r="G71" s="71"/>
      <c r="H71" s="71"/>
      <c r="I71" s="71"/>
      <c r="J71" s="71"/>
      <c r="K71" s="128">
        <f t="shared" si="0"/>
        <v>65</v>
      </c>
      <c r="L71" s="126" t="str">
        <f t="shared" si="1"/>
        <v>1829 SVEUČILIŠTE U ZAGREBU - FAKULTET STROJARSTVA I BRODOGRADNJE</v>
      </c>
      <c r="M71" s="126">
        <v>1829</v>
      </c>
      <c r="N71" s="129" t="s">
        <v>262</v>
      </c>
      <c r="O71" s="130" t="s">
        <v>30</v>
      </c>
      <c r="P71" s="129" t="s">
        <v>263</v>
      </c>
      <c r="Q71" s="129" t="s">
        <v>25</v>
      </c>
      <c r="R71" s="127">
        <v>3276546</v>
      </c>
      <c r="S71" s="123" t="s">
        <v>264</v>
      </c>
      <c r="T71" s="124" t="s">
        <v>34</v>
      </c>
      <c r="U71" s="125" t="s">
        <v>35</v>
      </c>
    </row>
    <row r="72" spans="1:21" ht="30">
      <c r="A72" s="78"/>
      <c r="B72" s="78"/>
      <c r="C72" s="78" t="s">
        <v>229</v>
      </c>
      <c r="D72" s="78" t="s">
        <v>230</v>
      </c>
      <c r="E72" s="78" t="s">
        <v>231</v>
      </c>
      <c r="F72" s="71"/>
      <c r="G72" s="71"/>
      <c r="H72" s="71"/>
      <c r="I72" s="71"/>
      <c r="J72" s="71"/>
      <c r="K72" s="128">
        <f t="shared" ref="K72:K135" si="5">+K71+1</f>
        <v>66</v>
      </c>
      <c r="L72" s="126" t="str">
        <f t="shared" si="1"/>
        <v xml:space="preserve">2014 SVEUČILIŠTE U ZAGREBU - FARMACEUTSKO-BIOKEMIJSKI FAKULTET </v>
      </c>
      <c r="M72" s="126">
        <v>2014</v>
      </c>
      <c r="N72" s="129" t="s">
        <v>265</v>
      </c>
      <c r="O72" s="130" t="s">
        <v>30</v>
      </c>
      <c r="P72" s="129" t="s">
        <v>266</v>
      </c>
      <c r="Q72" s="129" t="s">
        <v>25</v>
      </c>
      <c r="R72" s="127">
        <v>3205037</v>
      </c>
      <c r="S72" s="123" t="s">
        <v>267</v>
      </c>
      <c r="T72" s="124" t="s">
        <v>34</v>
      </c>
      <c r="U72" s="125" t="s">
        <v>35</v>
      </c>
    </row>
    <row r="73" spans="1:21" ht="30">
      <c r="A73" s="82">
        <v>8</v>
      </c>
      <c r="B73" s="79" t="s">
        <v>112</v>
      </c>
      <c r="C73" s="83">
        <f>+C27*7.5345</f>
        <v>0</v>
      </c>
      <c r="D73" s="83">
        <f t="shared" ref="D73:E73" si="6">+D27*7.5345</f>
        <v>0</v>
      </c>
      <c r="E73" s="83">
        <f t="shared" si="6"/>
        <v>0</v>
      </c>
      <c r="F73" s="71"/>
      <c r="G73" s="71"/>
      <c r="H73" s="71"/>
      <c r="I73" s="71"/>
      <c r="J73" s="71"/>
      <c r="K73" s="128">
        <f t="shared" si="5"/>
        <v>67</v>
      </c>
      <c r="L73" s="126" t="str">
        <f t="shared" ref="L73:L135" si="7">M73&amp;" "&amp;N73</f>
        <v>1958 SVEUČILIŠTE U ZAGREBU - FILOZOFSKI FAKULTET</v>
      </c>
      <c r="M73" s="126">
        <v>1958</v>
      </c>
      <c r="N73" s="129" t="s">
        <v>268</v>
      </c>
      <c r="O73" s="130" t="s">
        <v>30</v>
      </c>
      <c r="P73" s="129" t="s">
        <v>269</v>
      </c>
      <c r="Q73" s="129" t="s">
        <v>25</v>
      </c>
      <c r="R73" s="127">
        <v>3254852</v>
      </c>
      <c r="S73" s="123" t="s">
        <v>270</v>
      </c>
      <c r="T73" s="124" t="s">
        <v>34</v>
      </c>
      <c r="U73" s="125" t="s">
        <v>35</v>
      </c>
    </row>
    <row r="74" spans="1:21" ht="30">
      <c r="A74" s="82">
        <v>5</v>
      </c>
      <c r="B74" s="79" t="s">
        <v>117</v>
      </c>
      <c r="C74" s="83">
        <f t="shared" ref="C74:E74" si="8">+C28*7.5345</f>
        <v>0</v>
      </c>
      <c r="D74" s="83">
        <f t="shared" si="8"/>
        <v>0</v>
      </c>
      <c r="E74" s="83">
        <f t="shared" si="8"/>
        <v>0</v>
      </c>
      <c r="F74" s="71"/>
      <c r="G74" s="71"/>
      <c r="H74" s="71"/>
      <c r="I74" s="71"/>
      <c r="J74" s="71"/>
      <c r="K74" s="128">
        <f t="shared" si="5"/>
        <v>68</v>
      </c>
      <c r="L74" s="126" t="str">
        <f t="shared" si="7"/>
        <v>1853 SVEUČILIŠTE U ZAGREBU - GEODETSKI FAKULTET</v>
      </c>
      <c r="M74" s="126">
        <v>1853</v>
      </c>
      <c r="N74" s="129" t="s">
        <v>271</v>
      </c>
      <c r="O74" s="130" t="s">
        <v>30</v>
      </c>
      <c r="P74" s="129" t="s">
        <v>272</v>
      </c>
      <c r="Q74" s="129" t="s">
        <v>25</v>
      </c>
      <c r="R74" s="127">
        <v>3204987</v>
      </c>
      <c r="S74" s="123" t="s">
        <v>273</v>
      </c>
      <c r="T74" s="124" t="s">
        <v>34</v>
      </c>
      <c r="U74" s="125" t="s">
        <v>35</v>
      </c>
    </row>
    <row r="75" spans="1:21" ht="30">
      <c r="A75" s="90" t="s">
        <v>122</v>
      </c>
      <c r="B75" s="217" t="s">
        <v>123</v>
      </c>
      <c r="C75" s="83">
        <f t="shared" ref="C75:E75" si="9">+C29*7.5345</f>
        <v>9807716.0628900006</v>
      </c>
      <c r="D75" s="83">
        <f t="shared" si="9"/>
        <v>6830559.1995000001</v>
      </c>
      <c r="E75" s="83">
        <f t="shared" si="9"/>
        <v>9234560.5449450016</v>
      </c>
      <c r="F75" s="71"/>
      <c r="G75" s="71"/>
      <c r="H75" s="71"/>
      <c r="I75" s="71"/>
      <c r="J75" s="71"/>
      <c r="K75" s="128">
        <f t="shared" si="5"/>
        <v>69</v>
      </c>
      <c r="L75" s="126" t="str">
        <f t="shared" si="7"/>
        <v>2102 SVEUČILIŠTE U ZAGREBU - GEOTEHNIČKI FAKULTET</v>
      </c>
      <c r="M75" s="126">
        <v>2102</v>
      </c>
      <c r="N75" s="129" t="s">
        <v>274</v>
      </c>
      <c r="O75" s="130" t="s">
        <v>30</v>
      </c>
      <c r="P75" s="129" t="s">
        <v>275</v>
      </c>
      <c r="Q75" s="129" t="s">
        <v>32</v>
      </c>
      <c r="R75" s="127">
        <v>3042316</v>
      </c>
      <c r="S75" s="123" t="s">
        <v>276</v>
      </c>
      <c r="T75" s="124" t="s">
        <v>34</v>
      </c>
      <c r="U75" s="125" t="s">
        <v>35</v>
      </c>
    </row>
    <row r="76" spans="1:21" ht="15" customHeight="1">
      <c r="A76" s="90" t="s">
        <v>128</v>
      </c>
      <c r="B76" s="217" t="s">
        <v>129</v>
      </c>
      <c r="C76" s="83">
        <f t="shared" ref="C76:E76" si="10">+C30*7.5345</f>
        <v>-8053242.7905000001</v>
      </c>
      <c r="D76" s="83">
        <f t="shared" si="10"/>
        <v>-8970997.6320000011</v>
      </c>
      <c r="E76" s="83">
        <f t="shared" si="10"/>
        <v>-7695504.7305000005</v>
      </c>
      <c r="F76" s="71"/>
      <c r="G76" s="71"/>
      <c r="H76" s="71"/>
      <c r="I76" s="71"/>
      <c r="J76" s="71"/>
      <c r="K76" s="128">
        <f t="shared" si="5"/>
        <v>70</v>
      </c>
      <c r="L76" s="126" t="str">
        <f t="shared" si="7"/>
        <v>1837 SVEUČILIŠTE U ZAGREBU - GRAĐEVINSKI FAKULTET</v>
      </c>
      <c r="M76" s="126">
        <v>1837</v>
      </c>
      <c r="N76" s="129" t="s">
        <v>277</v>
      </c>
      <c r="O76" s="130" t="s">
        <v>30</v>
      </c>
      <c r="P76" s="129" t="s">
        <v>278</v>
      </c>
      <c r="Q76" s="129" t="s">
        <v>25</v>
      </c>
      <c r="R76" s="127">
        <v>3227120</v>
      </c>
      <c r="S76" s="123" t="s">
        <v>279</v>
      </c>
      <c r="T76" s="124" t="s">
        <v>34</v>
      </c>
      <c r="U76" s="125" t="s">
        <v>35</v>
      </c>
    </row>
    <row r="77" spans="1:21" ht="15.75">
      <c r="A77" s="79"/>
      <c r="B77" s="79" t="s">
        <v>133</v>
      </c>
      <c r="C77" s="87">
        <f>+C73-C74+C75+C76</f>
        <v>1754473.2723900005</v>
      </c>
      <c r="D77" s="87">
        <f t="shared" ref="D77:E77" si="11">+D73-D74+D75+D76</f>
        <v>-2140438.432500001</v>
      </c>
      <c r="E77" s="87">
        <f t="shared" si="11"/>
        <v>1539055.8144450011</v>
      </c>
      <c r="F77" s="71"/>
      <c r="G77" s="71"/>
      <c r="H77" s="71"/>
      <c r="I77" s="71"/>
      <c r="J77" s="71"/>
      <c r="K77" s="128">
        <f t="shared" si="5"/>
        <v>71</v>
      </c>
      <c r="L77" s="126" t="str">
        <f t="shared" si="7"/>
        <v>2080 SVEUČILIŠTE U ZAGREBU - GRAFIČKI FAKULTET</v>
      </c>
      <c r="M77" s="126">
        <v>2080</v>
      </c>
      <c r="N77" s="129" t="s">
        <v>280</v>
      </c>
      <c r="O77" s="130" t="s">
        <v>30</v>
      </c>
      <c r="P77" s="129" t="s">
        <v>281</v>
      </c>
      <c r="Q77" s="129" t="s">
        <v>25</v>
      </c>
      <c r="R77" s="127">
        <v>3219763</v>
      </c>
      <c r="S77" s="123" t="s">
        <v>282</v>
      </c>
      <c r="T77" s="124" t="s">
        <v>34</v>
      </c>
      <c r="U77" s="125" t="s">
        <v>35</v>
      </c>
    </row>
    <row r="78" spans="1:21" ht="15.75">
      <c r="B78" s="261"/>
      <c r="C78" s="279"/>
      <c r="D78" s="279"/>
      <c r="E78" s="279"/>
      <c r="F78" s="71"/>
      <c r="G78" s="71"/>
      <c r="H78" s="71"/>
      <c r="I78" s="71"/>
      <c r="J78" s="71"/>
      <c r="K78" s="128">
        <f t="shared" si="5"/>
        <v>72</v>
      </c>
      <c r="L78" s="126" t="str">
        <f t="shared" si="7"/>
        <v xml:space="preserve">2135 SVEUČILIŠTE U ZAGREBU - KATOLIČKI BOGOSLOVNI FAKULTET </v>
      </c>
      <c r="M78" s="126">
        <v>2135</v>
      </c>
      <c r="N78" s="129" t="s">
        <v>283</v>
      </c>
      <c r="O78" s="130" t="s">
        <v>30</v>
      </c>
      <c r="P78" s="129" t="s">
        <v>284</v>
      </c>
      <c r="Q78" s="129" t="s">
        <v>25</v>
      </c>
      <c r="R78" s="127">
        <v>3703088</v>
      </c>
      <c r="S78" s="123">
        <v>48987767944</v>
      </c>
      <c r="T78" s="124" t="s">
        <v>34</v>
      </c>
      <c r="U78" s="125" t="s">
        <v>35</v>
      </c>
    </row>
    <row r="79" spans="1:21" ht="30">
      <c r="A79" s="96"/>
      <c r="B79" s="96" t="s">
        <v>141</v>
      </c>
      <c r="C79" s="97">
        <f>+C68+C77</f>
        <v>-2.8631099984049797</v>
      </c>
      <c r="D79" s="97">
        <f t="shared" ref="D79:E79" si="12">+D68+D77</f>
        <v>-414706.41450000182</v>
      </c>
      <c r="E79" s="97">
        <f t="shared" si="12"/>
        <v>-1.4315549982711673</v>
      </c>
      <c r="F79" s="71"/>
      <c r="G79" s="71"/>
      <c r="H79" s="71"/>
      <c r="I79" s="71"/>
      <c r="J79" s="71"/>
      <c r="K79" s="128">
        <f t="shared" si="5"/>
        <v>73</v>
      </c>
      <c r="L79" s="126" t="str">
        <f t="shared" si="7"/>
        <v>2006 SVEUČILIŠTE U ZAGREBU - KINEZIOLOŠKI FAKULTET</v>
      </c>
      <c r="M79" s="126">
        <v>2006</v>
      </c>
      <c r="N79" s="129" t="s">
        <v>285</v>
      </c>
      <c r="O79" s="130" t="s">
        <v>30</v>
      </c>
      <c r="P79" s="129" t="s">
        <v>286</v>
      </c>
      <c r="Q79" s="129" t="s">
        <v>25</v>
      </c>
      <c r="R79" s="127">
        <v>3274080</v>
      </c>
      <c r="S79" s="123" t="s">
        <v>287</v>
      </c>
      <c r="T79" s="124" t="s">
        <v>34</v>
      </c>
      <c r="U79" s="125" t="s">
        <v>35</v>
      </c>
    </row>
    <row r="80" spans="1:21" ht="15.7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128">
        <f t="shared" si="5"/>
        <v>74</v>
      </c>
      <c r="L80" s="126" t="str">
        <f t="shared" si="7"/>
        <v>1888 SVEUČILIŠTE U ZAGREBU - MEDICINSKI FAKULTET</v>
      </c>
      <c r="M80" s="126">
        <v>1888</v>
      </c>
      <c r="N80" s="129" t="s">
        <v>288</v>
      </c>
      <c r="O80" s="130" t="s">
        <v>30</v>
      </c>
      <c r="P80" s="129" t="s">
        <v>289</v>
      </c>
      <c r="Q80" s="129" t="s">
        <v>25</v>
      </c>
      <c r="R80" s="127">
        <v>3270211</v>
      </c>
      <c r="S80" s="123" t="s">
        <v>290</v>
      </c>
      <c r="T80" s="124" t="s">
        <v>34</v>
      </c>
      <c r="U80" s="125" t="s">
        <v>35</v>
      </c>
    </row>
    <row r="81" spans="11:21" ht="15.75">
      <c r="K81" s="128">
        <f t="shared" si="5"/>
        <v>75</v>
      </c>
      <c r="L81" s="126" t="str">
        <f t="shared" si="7"/>
        <v>2071 SVEUČILIŠTE U ZAGREBU - METALURŠKI FAKULTET SISAK</v>
      </c>
      <c r="M81" s="126">
        <v>2071</v>
      </c>
      <c r="N81" s="129" t="s">
        <v>291</v>
      </c>
      <c r="O81" s="130" t="s">
        <v>30</v>
      </c>
      <c r="P81" s="129" t="s">
        <v>292</v>
      </c>
      <c r="Q81" s="129" t="s">
        <v>293</v>
      </c>
      <c r="R81" s="127">
        <v>3313786</v>
      </c>
      <c r="S81" s="123" t="s">
        <v>294</v>
      </c>
      <c r="T81" s="124" t="s">
        <v>34</v>
      </c>
      <c r="U81" s="125" t="s">
        <v>35</v>
      </c>
    </row>
    <row r="82" spans="11:21" ht="15.75">
      <c r="K82" s="128">
        <f t="shared" si="5"/>
        <v>76</v>
      </c>
      <c r="L82" s="126" t="str">
        <f t="shared" si="7"/>
        <v>1999 SVEUČILIŠTE U ZAGREBU - MUZIČKA AKADEMIJA</v>
      </c>
      <c r="M82" s="126">
        <v>1999</v>
      </c>
      <c r="N82" s="129" t="s">
        <v>295</v>
      </c>
      <c r="O82" s="130" t="s">
        <v>30</v>
      </c>
      <c r="P82" s="129" t="s">
        <v>296</v>
      </c>
      <c r="Q82" s="129" t="s">
        <v>25</v>
      </c>
      <c r="R82" s="127">
        <v>3205002</v>
      </c>
      <c r="S82" s="123" t="s">
        <v>297</v>
      </c>
      <c r="T82" s="124" t="s">
        <v>34</v>
      </c>
      <c r="U82" s="125" t="s">
        <v>35</v>
      </c>
    </row>
    <row r="83" spans="11:21" ht="15.75">
      <c r="K83" s="128">
        <f t="shared" si="5"/>
        <v>77</v>
      </c>
      <c r="L83" s="126" t="str">
        <f t="shared" si="7"/>
        <v>1915 SVEUČILIŠTE U ZAGREBU - PRAVNI FAKULTET</v>
      </c>
      <c r="M83" s="134">
        <v>1915</v>
      </c>
      <c r="N83" s="129" t="s">
        <v>298</v>
      </c>
      <c r="O83" s="130" t="s">
        <v>30</v>
      </c>
      <c r="P83" s="129" t="s">
        <v>220</v>
      </c>
      <c r="Q83" s="129" t="s">
        <v>25</v>
      </c>
      <c r="R83" s="127">
        <v>3225909</v>
      </c>
      <c r="S83" s="123" t="s">
        <v>299</v>
      </c>
      <c r="T83" s="124" t="s">
        <v>34</v>
      </c>
      <c r="U83" s="125" t="s">
        <v>35</v>
      </c>
    </row>
    <row r="84" spans="11:21" ht="15.75">
      <c r="K84" s="128">
        <f t="shared" si="5"/>
        <v>78</v>
      </c>
      <c r="L84" s="126" t="str">
        <f t="shared" si="7"/>
        <v>1845 SVEUČILIŠTE U ZAGREBU - PREHRAMBENO BIOTEHNOLOŠKI FAKULTET</v>
      </c>
      <c r="M84" s="126">
        <v>1845</v>
      </c>
      <c r="N84" s="129" t="s">
        <v>300</v>
      </c>
      <c r="O84" s="130" t="s">
        <v>30</v>
      </c>
      <c r="P84" s="129" t="s">
        <v>301</v>
      </c>
      <c r="Q84" s="129" t="s">
        <v>25</v>
      </c>
      <c r="R84" s="127">
        <v>3207102</v>
      </c>
      <c r="S84" s="123" t="s">
        <v>302</v>
      </c>
      <c r="T84" s="124" t="s">
        <v>34</v>
      </c>
      <c r="U84" s="125" t="s">
        <v>35</v>
      </c>
    </row>
    <row r="85" spans="11:21" ht="15.75">
      <c r="K85" s="128">
        <f t="shared" si="5"/>
        <v>79</v>
      </c>
      <c r="L85" s="126" t="str">
        <f t="shared" si="7"/>
        <v>1781 SVEUČILIŠTE U ZAGREBU - PRIRODOSLOVNO-MATEMATIČKI FAKULTET</v>
      </c>
      <c r="M85" s="126">
        <v>1781</v>
      </c>
      <c r="N85" s="129" t="s">
        <v>303</v>
      </c>
      <c r="O85" s="130" t="s">
        <v>30</v>
      </c>
      <c r="P85" s="129" t="s">
        <v>304</v>
      </c>
      <c r="Q85" s="129" t="s">
        <v>25</v>
      </c>
      <c r="R85" s="127">
        <v>3270149</v>
      </c>
      <c r="S85" s="123" t="s">
        <v>305</v>
      </c>
      <c r="T85" s="124" t="s">
        <v>34</v>
      </c>
      <c r="U85" s="125" t="s">
        <v>35</v>
      </c>
    </row>
    <row r="86" spans="11:21" ht="15.75">
      <c r="K86" s="128">
        <f t="shared" si="5"/>
        <v>80</v>
      </c>
      <c r="L86" s="126" t="str">
        <f t="shared" si="7"/>
        <v>2047 SVEUČILIŠTE U ZAGREBU - RUDARSKO-GEOLOŠKO-NAFTNI FAKULTET</v>
      </c>
      <c r="M86" s="126">
        <v>2047</v>
      </c>
      <c r="N86" s="129" t="s">
        <v>306</v>
      </c>
      <c r="O86" s="130" t="s">
        <v>30</v>
      </c>
      <c r="P86" s="135" t="s">
        <v>301</v>
      </c>
      <c r="Q86" s="135" t="s">
        <v>25</v>
      </c>
      <c r="R86" s="127">
        <v>3207005</v>
      </c>
      <c r="S86" s="123" t="s">
        <v>307</v>
      </c>
      <c r="T86" s="124" t="s">
        <v>34</v>
      </c>
      <c r="U86" s="125" t="s">
        <v>35</v>
      </c>
    </row>
    <row r="87" spans="11:21" ht="15.75">
      <c r="K87" s="128">
        <f t="shared" si="5"/>
        <v>81</v>
      </c>
      <c r="L87" s="126" t="str">
        <f t="shared" si="7"/>
        <v>1870 SVEUČILIŠTE U ZAGREBU - STOMATOLOŠKI FAKULTET</v>
      </c>
      <c r="M87" s="126">
        <v>1870</v>
      </c>
      <c r="N87" s="129" t="s">
        <v>308</v>
      </c>
      <c r="O87" s="130" t="s">
        <v>30</v>
      </c>
      <c r="P87" s="129" t="s">
        <v>309</v>
      </c>
      <c r="Q87" s="129" t="s">
        <v>25</v>
      </c>
      <c r="R87" s="127">
        <v>3204995</v>
      </c>
      <c r="S87" s="123" t="s">
        <v>310</v>
      </c>
      <c r="T87" s="124" t="s">
        <v>34</v>
      </c>
      <c r="U87" s="125" t="s">
        <v>35</v>
      </c>
    </row>
    <row r="88" spans="11:21" ht="15.75">
      <c r="K88" s="128">
        <f t="shared" si="5"/>
        <v>82</v>
      </c>
      <c r="L88" s="126" t="str">
        <f t="shared" si="7"/>
        <v>1896 SVEUČILIŠTE U ZAGREBU - FAKULTET ŠUMARSTVA I DRVNE TEHNOLOGIJE</v>
      </c>
      <c r="M88" s="126">
        <v>1896</v>
      </c>
      <c r="N88" s="129" t="s">
        <v>311</v>
      </c>
      <c r="O88" s="130" t="s">
        <v>30</v>
      </c>
      <c r="P88" s="129" t="s">
        <v>223</v>
      </c>
      <c r="Q88" s="129" t="s">
        <v>25</v>
      </c>
      <c r="R88" s="127">
        <v>3281485</v>
      </c>
      <c r="S88" s="123" t="s">
        <v>312</v>
      </c>
      <c r="T88" s="124" t="s">
        <v>34</v>
      </c>
      <c r="U88" s="125" t="s">
        <v>35</v>
      </c>
    </row>
    <row r="89" spans="11:21" ht="15.75">
      <c r="K89" s="128">
        <f t="shared" si="5"/>
        <v>83</v>
      </c>
      <c r="L89" s="126" t="str">
        <f t="shared" si="7"/>
        <v>1804 SVEUČILIŠTE U ZAGREBU - TEKSTILNO TEHNOLOŠKI FAKULTET</v>
      </c>
      <c r="M89" s="126">
        <v>1804</v>
      </c>
      <c r="N89" s="129" t="s">
        <v>313</v>
      </c>
      <c r="O89" s="130" t="s">
        <v>30</v>
      </c>
      <c r="P89" s="129" t="s">
        <v>314</v>
      </c>
      <c r="Q89" s="129" t="s">
        <v>25</v>
      </c>
      <c r="R89" s="127">
        <v>3207064</v>
      </c>
      <c r="S89" s="123" t="s">
        <v>315</v>
      </c>
      <c r="T89" s="124" t="s">
        <v>34</v>
      </c>
      <c r="U89" s="125" t="s">
        <v>35</v>
      </c>
    </row>
    <row r="90" spans="11:21" ht="15.75">
      <c r="K90" s="128">
        <f t="shared" si="5"/>
        <v>84</v>
      </c>
      <c r="L90" s="126" t="str">
        <f t="shared" si="7"/>
        <v>1940 SVEUČILIŠTE U ZAGREBU - UČITELJSKI FAKULTET</v>
      </c>
      <c r="M90" s="126">
        <v>1940</v>
      </c>
      <c r="N90" s="129" t="s">
        <v>316</v>
      </c>
      <c r="O90" s="130" t="s">
        <v>30</v>
      </c>
      <c r="P90" s="129" t="s">
        <v>317</v>
      </c>
      <c r="Q90" s="129" t="s">
        <v>25</v>
      </c>
      <c r="R90" s="127">
        <v>1422545</v>
      </c>
      <c r="S90" s="123" t="s">
        <v>318</v>
      </c>
      <c r="T90" s="124" t="s">
        <v>34</v>
      </c>
      <c r="U90" s="125" t="s">
        <v>35</v>
      </c>
    </row>
    <row r="91" spans="11:21" ht="15.75">
      <c r="K91" s="128">
        <f t="shared" si="5"/>
        <v>85</v>
      </c>
      <c r="L91" s="126" t="str">
        <f t="shared" si="7"/>
        <v>2022 SVEUČILIŠTE U ZAGREBU - VETERINARSKI FAKULTET</v>
      </c>
      <c r="M91" s="126">
        <v>2022</v>
      </c>
      <c r="N91" s="129" t="s">
        <v>319</v>
      </c>
      <c r="O91" s="130" t="s">
        <v>30</v>
      </c>
      <c r="P91" s="129" t="s">
        <v>320</v>
      </c>
      <c r="Q91" s="129" t="s">
        <v>25</v>
      </c>
      <c r="R91" s="127">
        <v>3225755</v>
      </c>
      <c r="S91" s="123" t="s">
        <v>321</v>
      </c>
      <c r="T91" s="124" t="s">
        <v>34</v>
      </c>
      <c r="U91" s="125" t="s">
        <v>35</v>
      </c>
    </row>
    <row r="92" spans="11:21" ht="15.75">
      <c r="K92" s="128">
        <f t="shared" si="5"/>
        <v>86</v>
      </c>
      <c r="L92" s="126" t="str">
        <f t="shared" si="7"/>
        <v>22427 TEHNIČKO VELEUČILIŠTE U ZAGREBU</v>
      </c>
      <c r="M92" s="126">
        <v>22427</v>
      </c>
      <c r="N92" s="129" t="s">
        <v>322</v>
      </c>
      <c r="O92" s="130" t="s">
        <v>38</v>
      </c>
      <c r="P92" s="129" t="s">
        <v>323</v>
      </c>
      <c r="Q92" s="129" t="s">
        <v>25</v>
      </c>
      <c r="R92" s="127">
        <v>1398270</v>
      </c>
      <c r="S92" s="123" t="s">
        <v>324</v>
      </c>
      <c r="T92" s="124" t="s">
        <v>34</v>
      </c>
      <c r="U92" s="125" t="s">
        <v>35</v>
      </c>
    </row>
    <row r="93" spans="11:21" ht="15.75">
      <c r="K93" s="128">
        <f t="shared" si="5"/>
        <v>87</v>
      </c>
      <c r="L93" s="126" t="str">
        <f t="shared" si="7"/>
        <v>50848 VELEUČILIŠTE HRVATSKO ZAGORJE KRAPINA</v>
      </c>
      <c r="M93" s="126">
        <v>50848</v>
      </c>
      <c r="N93" s="129" t="s">
        <v>325</v>
      </c>
      <c r="O93" s="130" t="s">
        <v>38</v>
      </c>
      <c r="P93" s="129" t="s">
        <v>326</v>
      </c>
      <c r="Q93" s="129" t="s">
        <v>327</v>
      </c>
      <c r="R93" s="127">
        <v>2271354</v>
      </c>
      <c r="S93" s="123" t="s">
        <v>328</v>
      </c>
      <c r="T93" s="124" t="s">
        <v>34</v>
      </c>
      <c r="U93" s="125" t="s">
        <v>35</v>
      </c>
    </row>
    <row r="94" spans="11:21" ht="15.75">
      <c r="K94" s="128">
        <f t="shared" si="5"/>
        <v>88</v>
      </c>
      <c r="L94" s="126" t="str">
        <f t="shared" si="7"/>
        <v>38446 VELEUČILIŠTE LAVOSLAV RUŽIČKA U VUKOVARU</v>
      </c>
      <c r="M94" s="126">
        <v>38446</v>
      </c>
      <c r="N94" s="129" t="s">
        <v>329</v>
      </c>
      <c r="O94" s="130" t="s">
        <v>38</v>
      </c>
      <c r="P94" s="129" t="s">
        <v>330</v>
      </c>
      <c r="Q94" s="129" t="s">
        <v>331</v>
      </c>
      <c r="R94" s="127">
        <v>1970828</v>
      </c>
      <c r="S94" s="123" t="s">
        <v>332</v>
      </c>
      <c r="T94" s="124" t="s">
        <v>34</v>
      </c>
      <c r="U94" s="125" t="s">
        <v>35</v>
      </c>
    </row>
    <row r="95" spans="11:21" ht="15.75">
      <c r="K95" s="128">
        <f t="shared" si="5"/>
        <v>89</v>
      </c>
      <c r="L95" s="126" t="str">
        <f t="shared" si="7"/>
        <v>38438 VELEUČILIŠTE MARKO MARULIĆ U KNINU</v>
      </c>
      <c r="M95" s="126">
        <v>38438</v>
      </c>
      <c r="N95" s="129" t="s">
        <v>333</v>
      </c>
      <c r="O95" s="130" t="s">
        <v>38</v>
      </c>
      <c r="P95" s="129" t="s">
        <v>334</v>
      </c>
      <c r="Q95" s="129" t="s">
        <v>335</v>
      </c>
      <c r="R95" s="127">
        <v>1963813</v>
      </c>
      <c r="S95" s="123" t="s">
        <v>336</v>
      </c>
      <c r="T95" s="124" t="s">
        <v>34</v>
      </c>
      <c r="U95" s="125" t="s">
        <v>35</v>
      </c>
    </row>
    <row r="96" spans="11:21" ht="15.75">
      <c r="K96" s="128">
        <f t="shared" si="5"/>
        <v>90</v>
      </c>
      <c r="L96" s="126" t="str">
        <f t="shared" si="7"/>
        <v>41185 VELEUČILIŠTE NIKOLA TESLA U GOSPIĆU</v>
      </c>
      <c r="M96" s="126">
        <v>41185</v>
      </c>
      <c r="N96" s="129" t="s">
        <v>337</v>
      </c>
      <c r="O96" s="130" t="s">
        <v>38</v>
      </c>
      <c r="P96" s="129" t="s">
        <v>338</v>
      </c>
      <c r="Q96" s="129" t="s">
        <v>339</v>
      </c>
      <c r="R96" s="133">
        <v>2103133</v>
      </c>
      <c r="S96" s="123" t="s">
        <v>340</v>
      </c>
      <c r="T96" s="124" t="s">
        <v>34</v>
      </c>
      <c r="U96" s="125" t="s">
        <v>35</v>
      </c>
    </row>
    <row r="97" spans="11:21" ht="15.75">
      <c r="K97" s="128">
        <f t="shared" si="5"/>
        <v>91</v>
      </c>
      <c r="L97" s="126" t="str">
        <f t="shared" si="7"/>
        <v>21053 VELEUČILIŠTE U KARLOVCU</v>
      </c>
      <c r="M97" s="126">
        <v>21053</v>
      </c>
      <c r="N97" s="129" t="s">
        <v>341</v>
      </c>
      <c r="O97" s="130" t="s">
        <v>38</v>
      </c>
      <c r="P97" s="129" t="s">
        <v>342</v>
      </c>
      <c r="Q97" s="129" t="s">
        <v>343</v>
      </c>
      <c r="R97" s="127">
        <v>1286030</v>
      </c>
      <c r="S97" s="123" t="s">
        <v>344</v>
      </c>
      <c r="T97" s="124" t="s">
        <v>34</v>
      </c>
      <c r="U97" s="125" t="s">
        <v>35</v>
      </c>
    </row>
    <row r="98" spans="11:21" ht="15.75">
      <c r="K98" s="128">
        <f t="shared" si="5"/>
        <v>92</v>
      </c>
      <c r="L98" s="126" t="str">
        <f t="shared" si="7"/>
        <v>22494 VELEUČILIŠTE U RIJECI</v>
      </c>
      <c r="M98" s="126">
        <v>22494</v>
      </c>
      <c r="N98" s="129" t="s">
        <v>345</v>
      </c>
      <c r="O98" s="130" t="s">
        <v>38</v>
      </c>
      <c r="P98" s="129" t="s">
        <v>346</v>
      </c>
      <c r="Q98" s="129" t="s">
        <v>126</v>
      </c>
      <c r="R98" s="127">
        <v>1387332</v>
      </c>
      <c r="S98" s="123" t="s">
        <v>347</v>
      </c>
      <c r="T98" s="124" t="s">
        <v>34</v>
      </c>
      <c r="U98" s="125" t="s">
        <v>35</v>
      </c>
    </row>
    <row r="99" spans="11:21" ht="15.75">
      <c r="K99" s="128">
        <f t="shared" si="5"/>
        <v>93</v>
      </c>
      <c r="L99" s="126" t="str">
        <f t="shared" si="7"/>
        <v>22824 VELEUČILIŠTE U ŠIBENIKU</v>
      </c>
      <c r="M99" s="126">
        <v>22824</v>
      </c>
      <c r="N99" s="129" t="s">
        <v>348</v>
      </c>
      <c r="O99" s="130" t="s">
        <v>38</v>
      </c>
      <c r="P99" s="129" t="s">
        <v>349</v>
      </c>
      <c r="Q99" s="129" t="s">
        <v>350</v>
      </c>
      <c r="R99" s="127">
        <v>2100673</v>
      </c>
      <c r="S99" s="123" t="s">
        <v>351</v>
      </c>
      <c r="T99" s="124" t="s">
        <v>34</v>
      </c>
      <c r="U99" s="125" t="s">
        <v>35</v>
      </c>
    </row>
    <row r="100" spans="11:21" ht="15.75">
      <c r="K100" s="128">
        <f t="shared" si="5"/>
        <v>94</v>
      </c>
      <c r="L100" s="126" t="str">
        <f t="shared" si="7"/>
        <v>42993 VELEUČILIŠTE U VIROVITICI</v>
      </c>
      <c r="M100" s="126">
        <v>42993</v>
      </c>
      <c r="N100" s="129" t="s">
        <v>352</v>
      </c>
      <c r="O100" s="130" t="s">
        <v>38</v>
      </c>
      <c r="P100" s="129" t="s">
        <v>353</v>
      </c>
      <c r="Q100" s="129" t="s">
        <v>354</v>
      </c>
      <c r="R100" s="127">
        <v>2282208</v>
      </c>
      <c r="S100" s="123" t="s">
        <v>355</v>
      </c>
      <c r="T100" s="124" t="s">
        <v>34</v>
      </c>
      <c r="U100" s="125" t="s">
        <v>35</v>
      </c>
    </row>
    <row r="101" spans="11:21" ht="15.75">
      <c r="K101" s="128">
        <f t="shared" si="5"/>
        <v>95</v>
      </c>
      <c r="L101" s="126" t="str">
        <f t="shared" si="7"/>
        <v>22371 VISOKO GOSPODARSKO UČILIŠTE U KRIŽEVCIMA</v>
      </c>
      <c r="M101" s="126">
        <v>22371</v>
      </c>
      <c r="N101" s="129" t="s">
        <v>356</v>
      </c>
      <c r="O101" s="130" t="s">
        <v>38</v>
      </c>
      <c r="P101" s="129" t="s">
        <v>357</v>
      </c>
      <c r="Q101" s="129" t="s">
        <v>358</v>
      </c>
      <c r="R101" s="127">
        <v>1411942</v>
      </c>
      <c r="S101" s="123" t="s">
        <v>359</v>
      </c>
      <c r="T101" s="124" t="s">
        <v>34</v>
      </c>
      <c r="U101" s="125" t="s">
        <v>35</v>
      </c>
    </row>
    <row r="102" spans="11:21" ht="15.75">
      <c r="K102" s="128">
        <f t="shared" si="5"/>
        <v>96</v>
      </c>
      <c r="L102" s="126" t="str">
        <f t="shared" si="7"/>
        <v>22832 ZDRAVSTVENO VELEUČILIŠTE</v>
      </c>
      <c r="M102" s="126">
        <v>22832</v>
      </c>
      <c r="N102" s="129" t="s">
        <v>360</v>
      </c>
      <c r="O102" s="130" t="s">
        <v>38</v>
      </c>
      <c r="P102" s="129" t="s">
        <v>361</v>
      </c>
      <c r="Q102" s="129" t="s">
        <v>25</v>
      </c>
      <c r="R102" s="127">
        <v>1274597</v>
      </c>
      <c r="S102" s="123" t="s">
        <v>362</v>
      </c>
      <c r="T102" s="124" t="s">
        <v>34</v>
      </c>
      <c r="U102" s="125" t="s">
        <v>35</v>
      </c>
    </row>
    <row r="103" spans="11:21" ht="15.75">
      <c r="K103" s="128">
        <f t="shared" si="5"/>
        <v>97</v>
      </c>
      <c r="L103" s="126" t="str">
        <f t="shared" si="7"/>
        <v>2918 EKONOMSKI INSTITUT ZAGREB</v>
      </c>
      <c r="M103" s="126">
        <v>2918</v>
      </c>
      <c r="N103" s="129" t="s">
        <v>363</v>
      </c>
      <c r="O103" s="130" t="s">
        <v>38</v>
      </c>
      <c r="P103" s="129" t="s">
        <v>364</v>
      </c>
      <c r="Q103" s="129" t="s">
        <v>25</v>
      </c>
      <c r="R103" s="127">
        <v>3219925</v>
      </c>
      <c r="S103" s="123" t="s">
        <v>365</v>
      </c>
      <c r="T103" s="124" t="s">
        <v>366</v>
      </c>
      <c r="U103" s="125" t="s">
        <v>367</v>
      </c>
    </row>
    <row r="104" spans="11:21" ht="15.75">
      <c r="K104" s="128">
        <f t="shared" si="5"/>
        <v>98</v>
      </c>
      <c r="L104" s="126" t="str">
        <f t="shared" si="7"/>
        <v xml:space="preserve">22525 HRVATSKI GEOLOŠKI INSTITUT </v>
      </c>
      <c r="M104" s="126">
        <v>22525</v>
      </c>
      <c r="N104" s="129" t="s">
        <v>368</v>
      </c>
      <c r="O104" s="130" t="s">
        <v>38</v>
      </c>
      <c r="P104" s="129" t="s">
        <v>369</v>
      </c>
      <c r="Q104" s="129" t="s">
        <v>25</v>
      </c>
      <c r="R104" s="127">
        <v>3219518</v>
      </c>
      <c r="S104" s="123" t="s">
        <v>370</v>
      </c>
      <c r="T104" s="124" t="s">
        <v>366</v>
      </c>
      <c r="U104" s="125" t="s">
        <v>367</v>
      </c>
    </row>
    <row r="105" spans="11:21" ht="15.75">
      <c r="K105" s="128">
        <f t="shared" si="5"/>
        <v>99</v>
      </c>
      <c r="L105" s="126" t="str">
        <f t="shared" si="7"/>
        <v>2934 HRVATSKI INSTITUT ZA POVIJEST</v>
      </c>
      <c r="M105" s="126">
        <v>2934</v>
      </c>
      <c r="N105" s="129" t="s">
        <v>371</v>
      </c>
      <c r="O105" s="130" t="s">
        <v>38</v>
      </c>
      <c r="P105" s="129" t="s">
        <v>372</v>
      </c>
      <c r="Q105" s="129" t="s">
        <v>25</v>
      </c>
      <c r="R105" s="127">
        <v>3207153</v>
      </c>
      <c r="S105" s="123" t="s">
        <v>373</v>
      </c>
      <c r="T105" s="124" t="s">
        <v>366</v>
      </c>
      <c r="U105" s="125" t="s">
        <v>367</v>
      </c>
    </row>
    <row r="106" spans="11:21" ht="15.75">
      <c r="K106" s="128">
        <f t="shared" si="5"/>
        <v>100</v>
      </c>
      <c r="L106" s="126" t="str">
        <f t="shared" si="7"/>
        <v>2967 HRVATSKI ŠUMARSKI INSTITUT</v>
      </c>
      <c r="M106" s="126">
        <v>2967</v>
      </c>
      <c r="N106" s="129" t="s">
        <v>374</v>
      </c>
      <c r="O106" s="130" t="s">
        <v>38</v>
      </c>
      <c r="P106" s="129" t="s">
        <v>375</v>
      </c>
      <c r="Q106" s="129" t="s">
        <v>376</v>
      </c>
      <c r="R106" s="127">
        <v>3115879</v>
      </c>
      <c r="S106" s="123" t="s">
        <v>377</v>
      </c>
      <c r="T106" s="124" t="s">
        <v>366</v>
      </c>
      <c r="U106" s="125" t="s">
        <v>367</v>
      </c>
    </row>
    <row r="107" spans="11:21" ht="15.75">
      <c r="K107" s="128">
        <f t="shared" si="5"/>
        <v>101</v>
      </c>
      <c r="L107" s="126" t="str">
        <f t="shared" si="7"/>
        <v>2983 HRVATSKI VETERINARSKI INSTITUT</v>
      </c>
      <c r="M107" s="126">
        <v>2983</v>
      </c>
      <c r="N107" s="129" t="s">
        <v>378</v>
      </c>
      <c r="O107" s="130" t="s">
        <v>38</v>
      </c>
      <c r="P107" s="129" t="s">
        <v>379</v>
      </c>
      <c r="Q107" s="129" t="s">
        <v>25</v>
      </c>
      <c r="R107" s="127">
        <v>3274098</v>
      </c>
      <c r="S107" s="123" t="s">
        <v>380</v>
      </c>
      <c r="T107" s="124" t="s">
        <v>366</v>
      </c>
      <c r="U107" s="125" t="s">
        <v>367</v>
      </c>
    </row>
    <row r="108" spans="11:21" ht="15.75">
      <c r="K108" s="128">
        <f t="shared" si="5"/>
        <v>102</v>
      </c>
      <c r="L108" s="126" t="str">
        <f t="shared" si="7"/>
        <v>3105 INSTITUT DRUŠTVENIH ZNANOSTI IVO PILAR</v>
      </c>
      <c r="M108" s="126">
        <v>3105</v>
      </c>
      <c r="N108" s="129" t="s">
        <v>381</v>
      </c>
      <c r="O108" s="130" t="s">
        <v>38</v>
      </c>
      <c r="P108" s="129" t="s">
        <v>382</v>
      </c>
      <c r="Q108" s="129" t="s">
        <v>25</v>
      </c>
      <c r="R108" s="127">
        <v>3793028</v>
      </c>
      <c r="S108" s="123" t="s">
        <v>383</v>
      </c>
      <c r="T108" s="124" t="s">
        <v>366</v>
      </c>
      <c r="U108" s="125" t="s">
        <v>367</v>
      </c>
    </row>
    <row r="109" spans="11:21" ht="15.75">
      <c r="K109" s="128">
        <f t="shared" si="5"/>
        <v>103</v>
      </c>
      <c r="L109" s="126" t="str">
        <f t="shared" si="7"/>
        <v>3041 INSTITUT RUĐER BOŠKOVIĆ</v>
      </c>
      <c r="M109" s="126">
        <v>3041</v>
      </c>
      <c r="N109" s="129" t="s">
        <v>384</v>
      </c>
      <c r="O109" s="130" t="s">
        <v>38</v>
      </c>
      <c r="P109" s="129" t="s">
        <v>385</v>
      </c>
      <c r="Q109" s="129" t="s">
        <v>25</v>
      </c>
      <c r="R109" s="127">
        <v>3270289</v>
      </c>
      <c r="S109" s="123" t="s">
        <v>386</v>
      </c>
      <c r="T109" s="124" t="s">
        <v>366</v>
      </c>
      <c r="U109" s="125" t="s">
        <v>367</v>
      </c>
    </row>
    <row r="110" spans="11:21" ht="15.75">
      <c r="K110" s="128">
        <f t="shared" si="5"/>
        <v>104</v>
      </c>
      <c r="L110" s="126" t="str">
        <f t="shared" si="7"/>
        <v>3113 INSTITUT ZA ANTROPOLOGIJU</v>
      </c>
      <c r="M110" s="126">
        <v>3113</v>
      </c>
      <c r="N110" s="129" t="s">
        <v>387</v>
      </c>
      <c r="O110" s="130" t="s">
        <v>38</v>
      </c>
      <c r="P110" s="129" t="s">
        <v>388</v>
      </c>
      <c r="Q110" s="129" t="s">
        <v>25</v>
      </c>
      <c r="R110" s="127">
        <v>3817121</v>
      </c>
      <c r="S110" s="123" t="s">
        <v>389</v>
      </c>
      <c r="T110" s="124" t="s">
        <v>366</v>
      </c>
      <c r="U110" s="125" t="s">
        <v>367</v>
      </c>
    </row>
    <row r="111" spans="11:21" ht="15.75">
      <c r="K111" s="128">
        <f t="shared" si="5"/>
        <v>105</v>
      </c>
      <c r="L111" s="126" t="str">
        <f t="shared" si="7"/>
        <v>3121 INSTITUT ZA ARHEOLOGIJU</v>
      </c>
      <c r="M111" s="126">
        <v>3121</v>
      </c>
      <c r="N111" s="129" t="s">
        <v>390</v>
      </c>
      <c r="O111" s="130" t="s">
        <v>38</v>
      </c>
      <c r="P111" s="129" t="s">
        <v>388</v>
      </c>
      <c r="Q111" s="129" t="s">
        <v>25</v>
      </c>
      <c r="R111" s="127">
        <v>3937658</v>
      </c>
      <c r="S111" s="123" t="s">
        <v>391</v>
      </c>
      <c r="T111" s="124" t="s">
        <v>366</v>
      </c>
      <c r="U111" s="125" t="s">
        <v>367</v>
      </c>
    </row>
    <row r="112" spans="11:21" ht="15.75">
      <c r="K112" s="128">
        <f t="shared" si="5"/>
        <v>106</v>
      </c>
      <c r="L112" s="126" t="str">
        <f t="shared" si="7"/>
        <v>3050 INSTITUT ZA DRUŠTVENA ISTRAŽIVANJA</v>
      </c>
      <c r="M112" s="126">
        <v>3050</v>
      </c>
      <c r="N112" s="129" t="s">
        <v>392</v>
      </c>
      <c r="O112" s="130" t="s">
        <v>38</v>
      </c>
      <c r="P112" s="129" t="s">
        <v>393</v>
      </c>
      <c r="Q112" s="129" t="s">
        <v>25</v>
      </c>
      <c r="R112" s="127">
        <v>3205118</v>
      </c>
      <c r="S112" s="123" t="s">
        <v>394</v>
      </c>
      <c r="T112" s="124" t="s">
        <v>366</v>
      </c>
      <c r="U112" s="125" t="s">
        <v>367</v>
      </c>
    </row>
    <row r="113" spans="11:21" ht="15.75">
      <c r="K113" s="128">
        <f t="shared" si="5"/>
        <v>107</v>
      </c>
      <c r="L113" s="126" t="str">
        <f t="shared" si="7"/>
        <v>3084 INSTITUT ZA ETNOLOGIJU I FOLKLORISTIKU</v>
      </c>
      <c r="M113" s="126">
        <v>3084</v>
      </c>
      <c r="N113" s="129" t="s">
        <v>395</v>
      </c>
      <c r="O113" s="130" t="s">
        <v>38</v>
      </c>
      <c r="P113" s="129" t="s">
        <v>396</v>
      </c>
      <c r="Q113" s="129" t="s">
        <v>25</v>
      </c>
      <c r="R113" s="127">
        <v>3724042</v>
      </c>
      <c r="S113" s="123" t="s">
        <v>397</v>
      </c>
      <c r="T113" s="124" t="s">
        <v>366</v>
      </c>
      <c r="U113" s="125" t="s">
        <v>367</v>
      </c>
    </row>
    <row r="114" spans="11:21" ht="15.75">
      <c r="K114" s="128">
        <f t="shared" si="5"/>
        <v>108</v>
      </c>
      <c r="L114" s="126" t="str">
        <f t="shared" si="7"/>
        <v>3092 INSTITUT ZA FILOZOFIJU</v>
      </c>
      <c r="M114" s="126">
        <v>3092</v>
      </c>
      <c r="N114" s="129" t="s">
        <v>398</v>
      </c>
      <c r="O114" s="130" t="s">
        <v>38</v>
      </c>
      <c r="P114" s="129" t="s">
        <v>399</v>
      </c>
      <c r="Q114" s="129" t="s">
        <v>25</v>
      </c>
      <c r="R114" s="127">
        <v>3772047</v>
      </c>
      <c r="S114" s="123" t="s">
        <v>400</v>
      </c>
      <c r="T114" s="124" t="s">
        <v>366</v>
      </c>
      <c r="U114" s="125" t="s">
        <v>367</v>
      </c>
    </row>
    <row r="115" spans="11:21" ht="15.75">
      <c r="K115" s="128">
        <f t="shared" si="5"/>
        <v>109</v>
      </c>
      <c r="L115" s="126" t="str">
        <f t="shared" si="7"/>
        <v>2975 INSTITUT ZA FIZIKU</v>
      </c>
      <c r="M115" s="126">
        <v>2975</v>
      </c>
      <c r="N115" s="129" t="s">
        <v>401</v>
      </c>
      <c r="O115" s="130" t="s">
        <v>38</v>
      </c>
      <c r="P115" s="129" t="s">
        <v>385</v>
      </c>
      <c r="Q115" s="129" t="s">
        <v>25</v>
      </c>
      <c r="R115" s="127">
        <v>3270424</v>
      </c>
      <c r="S115" s="123" t="s">
        <v>402</v>
      </c>
      <c r="T115" s="124" t="s">
        <v>366</v>
      </c>
      <c r="U115" s="125" t="s">
        <v>367</v>
      </c>
    </row>
    <row r="116" spans="11:21" ht="15.75">
      <c r="K116" s="128">
        <f t="shared" si="5"/>
        <v>110</v>
      </c>
      <c r="L116" s="126" t="str">
        <f t="shared" si="7"/>
        <v>21061 INSTITUT ZA HRVATSKI JEZIK I JEZIKOSLOVLJE</v>
      </c>
      <c r="M116" s="126">
        <v>21061</v>
      </c>
      <c r="N116" s="129" t="s">
        <v>403</v>
      </c>
      <c r="O116" s="130" t="s">
        <v>38</v>
      </c>
      <c r="P116" s="129" t="s">
        <v>404</v>
      </c>
      <c r="Q116" s="129" t="s">
        <v>25</v>
      </c>
      <c r="R116" s="127">
        <v>1259571</v>
      </c>
      <c r="S116" s="123" t="s">
        <v>405</v>
      </c>
      <c r="T116" s="124" t="s">
        <v>366</v>
      </c>
      <c r="U116" s="125" t="s">
        <v>367</v>
      </c>
    </row>
    <row r="117" spans="11:21" ht="15.75">
      <c r="K117" s="128">
        <f t="shared" si="5"/>
        <v>111</v>
      </c>
      <c r="L117" s="126" t="str">
        <f t="shared" si="7"/>
        <v>3025 INSTITUT ZA JADRANSKE KULTURE I MELIORACIJU KRŠA</v>
      </c>
      <c r="M117" s="126">
        <v>3025</v>
      </c>
      <c r="N117" s="129" t="s">
        <v>406</v>
      </c>
      <c r="O117" s="130" t="s">
        <v>38</v>
      </c>
      <c r="P117" s="129" t="s">
        <v>407</v>
      </c>
      <c r="Q117" s="129" t="s">
        <v>176</v>
      </c>
      <c r="R117" s="127">
        <v>3140792</v>
      </c>
      <c r="S117" s="123" t="s">
        <v>408</v>
      </c>
      <c r="T117" s="124" t="s">
        <v>366</v>
      </c>
      <c r="U117" s="125" t="s">
        <v>367</v>
      </c>
    </row>
    <row r="118" spans="11:21" ht="15.75">
      <c r="K118" s="128">
        <f t="shared" si="5"/>
        <v>112</v>
      </c>
      <c r="L118" s="126" t="str">
        <f t="shared" si="7"/>
        <v>23286 INSTITUT ZA JAVNE FINANCIJE</v>
      </c>
      <c r="M118" s="126">
        <v>23286</v>
      </c>
      <c r="N118" s="129" t="s">
        <v>409</v>
      </c>
      <c r="O118" s="130" t="s">
        <v>38</v>
      </c>
      <c r="P118" s="129" t="s">
        <v>410</v>
      </c>
      <c r="Q118" s="129" t="s">
        <v>25</v>
      </c>
      <c r="R118" s="127">
        <v>3226344</v>
      </c>
      <c r="S118" s="123" t="s">
        <v>411</v>
      </c>
      <c r="T118" s="124" t="s">
        <v>366</v>
      </c>
      <c r="U118" s="125" t="s">
        <v>367</v>
      </c>
    </row>
    <row r="119" spans="11:21" ht="15.75">
      <c r="K119" s="128">
        <f t="shared" si="5"/>
        <v>113</v>
      </c>
      <c r="L119" s="126" t="str">
        <f t="shared" si="7"/>
        <v>2959 INSTITUT ZA MEDICINSKA ISTRAŽIVANJA I MEDICINU RADA</v>
      </c>
      <c r="M119" s="126">
        <v>2959</v>
      </c>
      <c r="N119" s="129" t="s">
        <v>412</v>
      </c>
      <c r="O119" s="130" t="s">
        <v>38</v>
      </c>
      <c r="P119" s="129" t="s">
        <v>413</v>
      </c>
      <c r="Q119" s="129" t="s">
        <v>25</v>
      </c>
      <c r="R119" s="127">
        <v>3270475</v>
      </c>
      <c r="S119" s="123" t="s">
        <v>414</v>
      </c>
      <c r="T119" s="124" t="s">
        <v>366</v>
      </c>
      <c r="U119" s="125" t="s">
        <v>367</v>
      </c>
    </row>
    <row r="120" spans="11:21" ht="15.75">
      <c r="K120" s="128">
        <f t="shared" si="5"/>
        <v>114</v>
      </c>
      <c r="L120" s="126" t="str">
        <f t="shared" si="7"/>
        <v>3009 INSTITUT ZA MIGRACIJE I NARODNOSTI</v>
      </c>
      <c r="M120" s="126">
        <v>3009</v>
      </c>
      <c r="N120" s="129" t="s">
        <v>415</v>
      </c>
      <c r="O120" s="130" t="s">
        <v>38</v>
      </c>
      <c r="P120" s="129" t="s">
        <v>416</v>
      </c>
      <c r="Q120" s="129" t="s">
        <v>25</v>
      </c>
      <c r="R120" s="127">
        <v>3287572</v>
      </c>
      <c r="S120" s="123" t="s">
        <v>417</v>
      </c>
      <c r="T120" s="124" t="s">
        <v>366</v>
      </c>
      <c r="U120" s="125" t="s">
        <v>367</v>
      </c>
    </row>
    <row r="121" spans="11:21" ht="15.75">
      <c r="K121" s="128">
        <f t="shared" si="5"/>
        <v>115</v>
      </c>
      <c r="L121" s="126" t="str">
        <f t="shared" si="7"/>
        <v>2900 INSTITUT ZA OCEANOGRAFIJU I RIBARSTVO</v>
      </c>
      <c r="M121" s="126">
        <v>2900</v>
      </c>
      <c r="N121" s="129" t="s">
        <v>418</v>
      </c>
      <c r="O121" s="130" t="s">
        <v>38</v>
      </c>
      <c r="P121" s="129" t="s">
        <v>419</v>
      </c>
      <c r="Q121" s="129" t="s">
        <v>176</v>
      </c>
      <c r="R121" s="127">
        <v>3118355</v>
      </c>
      <c r="S121" s="123" t="s">
        <v>420</v>
      </c>
      <c r="T121" s="124" t="s">
        <v>366</v>
      </c>
      <c r="U121" s="125" t="s">
        <v>367</v>
      </c>
    </row>
    <row r="122" spans="11:21" ht="15.75">
      <c r="K122" s="128">
        <f t="shared" si="5"/>
        <v>116</v>
      </c>
      <c r="L122" s="126" t="str">
        <f t="shared" si="7"/>
        <v>3076 INSTITUT ZA POLJOPRIVREDU I TURIZAM</v>
      </c>
      <c r="M122" s="126">
        <v>3076</v>
      </c>
      <c r="N122" s="129" t="s">
        <v>421</v>
      </c>
      <c r="O122" s="130" t="s">
        <v>38</v>
      </c>
      <c r="P122" s="129" t="s">
        <v>422</v>
      </c>
      <c r="Q122" s="129" t="s">
        <v>423</v>
      </c>
      <c r="R122" s="127">
        <v>3421031</v>
      </c>
      <c r="S122" s="123" t="s">
        <v>424</v>
      </c>
      <c r="T122" s="124" t="s">
        <v>366</v>
      </c>
      <c r="U122" s="125" t="s">
        <v>367</v>
      </c>
    </row>
    <row r="123" spans="11:21" ht="15.75">
      <c r="K123" s="128">
        <f t="shared" si="5"/>
        <v>117</v>
      </c>
      <c r="L123" s="126" t="str">
        <f t="shared" si="7"/>
        <v>2942 INSTITUT ZA POVIJEST UMJETNOSTI</v>
      </c>
      <c r="M123" s="126">
        <v>2942</v>
      </c>
      <c r="N123" s="129" t="s">
        <v>425</v>
      </c>
      <c r="O123" s="130" t="s">
        <v>38</v>
      </c>
      <c r="P123" s="129" t="s">
        <v>426</v>
      </c>
      <c r="Q123" s="129" t="s">
        <v>25</v>
      </c>
      <c r="R123" s="127">
        <v>1339958</v>
      </c>
      <c r="S123" s="123" t="s">
        <v>427</v>
      </c>
      <c r="T123" s="124" t="s">
        <v>366</v>
      </c>
      <c r="U123" s="125" t="s">
        <v>367</v>
      </c>
    </row>
    <row r="124" spans="11:21" ht="15.75">
      <c r="K124" s="128">
        <f t="shared" si="5"/>
        <v>118</v>
      </c>
      <c r="L124" s="126" t="str">
        <f t="shared" si="7"/>
        <v>22621 INSTITUT ZA RAZVOJ I MEĐUNARODNE ODNOSE</v>
      </c>
      <c r="M124" s="126">
        <v>22621</v>
      </c>
      <c r="N124" s="129" t="s">
        <v>428</v>
      </c>
      <c r="O124" s="130" t="s">
        <v>38</v>
      </c>
      <c r="P124" s="129" t="s">
        <v>429</v>
      </c>
      <c r="Q124" s="129" t="s">
        <v>25</v>
      </c>
      <c r="R124" s="127">
        <v>3205177</v>
      </c>
      <c r="S124" s="123" t="s">
        <v>430</v>
      </c>
      <c r="T124" s="124" t="s">
        <v>366</v>
      </c>
      <c r="U124" s="125" t="s">
        <v>367</v>
      </c>
    </row>
    <row r="125" spans="11:21" ht="15.75">
      <c r="K125" s="128">
        <f t="shared" si="5"/>
        <v>119</v>
      </c>
      <c r="L125" s="126" t="str">
        <f t="shared" si="7"/>
        <v>3068 INSTITUT ZA TURIZAM</v>
      </c>
      <c r="M125" s="126">
        <v>3068</v>
      </c>
      <c r="N125" s="129" t="s">
        <v>431</v>
      </c>
      <c r="O125" s="130" t="s">
        <v>38</v>
      </c>
      <c r="P125" s="129" t="s">
        <v>432</v>
      </c>
      <c r="Q125" s="129" t="s">
        <v>25</v>
      </c>
      <c r="R125" s="127">
        <v>3208001</v>
      </c>
      <c r="S125" s="123" t="s">
        <v>433</v>
      </c>
      <c r="T125" s="124" t="s">
        <v>366</v>
      </c>
      <c r="U125" s="125" t="s">
        <v>367</v>
      </c>
    </row>
    <row r="126" spans="11:21" ht="15.75">
      <c r="K126" s="128">
        <f t="shared" si="5"/>
        <v>120</v>
      </c>
      <c r="L126" s="126" t="str">
        <f t="shared" si="7"/>
        <v>2991 POLJOPRIVREDNI INSTITUT OSIJEK</v>
      </c>
      <c r="M126" s="126">
        <v>2991</v>
      </c>
      <c r="N126" s="129" t="s">
        <v>434</v>
      </c>
      <c r="O126" s="130" t="s">
        <v>38</v>
      </c>
      <c r="P126" s="129" t="s">
        <v>435</v>
      </c>
      <c r="Q126" s="129" t="s">
        <v>45</v>
      </c>
      <c r="R126" s="127">
        <v>3058239</v>
      </c>
      <c r="S126" s="123" t="s">
        <v>436</v>
      </c>
      <c r="T126" s="124" t="s">
        <v>366</v>
      </c>
      <c r="U126" s="125" t="s">
        <v>367</v>
      </c>
    </row>
    <row r="127" spans="11:21" ht="15.75">
      <c r="K127" s="128">
        <f t="shared" si="5"/>
        <v>121</v>
      </c>
      <c r="L127" s="126" t="str">
        <f t="shared" si="7"/>
        <v>21070 STAROSLAVENSKI INSTITUT</v>
      </c>
      <c r="M127" s="126">
        <v>21070</v>
      </c>
      <c r="N127" s="129" t="s">
        <v>437</v>
      </c>
      <c r="O127" s="130" t="s">
        <v>38</v>
      </c>
      <c r="P127" s="129" t="s">
        <v>438</v>
      </c>
      <c r="Q127" s="129" t="s">
        <v>25</v>
      </c>
      <c r="R127" s="127">
        <v>1259563</v>
      </c>
      <c r="S127" s="123" t="s">
        <v>439</v>
      </c>
      <c r="T127" s="124" t="s">
        <v>366</v>
      </c>
      <c r="U127" s="125" t="s">
        <v>367</v>
      </c>
    </row>
    <row r="128" spans="11:21" ht="15.75">
      <c r="K128" s="128">
        <f t="shared" si="5"/>
        <v>122</v>
      </c>
      <c r="L128" s="126" t="str">
        <f t="shared" si="7"/>
        <v>6179 DRŽAVNI ZAVOD ZA INTELEKTUALNO VLASNIŠTVO</v>
      </c>
      <c r="M128" s="126">
        <v>6179</v>
      </c>
      <c r="N128" s="129" t="s">
        <v>440</v>
      </c>
      <c r="O128" s="130" t="s">
        <v>38</v>
      </c>
      <c r="P128" s="135" t="s">
        <v>441</v>
      </c>
      <c r="Q128" s="129" t="s">
        <v>25</v>
      </c>
      <c r="R128" s="127">
        <v>3899772</v>
      </c>
      <c r="S128" s="123" t="s">
        <v>442</v>
      </c>
      <c r="T128" s="124" t="s">
        <v>443</v>
      </c>
      <c r="U128" s="125" t="s">
        <v>444</v>
      </c>
    </row>
    <row r="129" spans="11:21" ht="15.75">
      <c r="K129" s="128">
        <f t="shared" si="5"/>
        <v>123</v>
      </c>
      <c r="L129" s="126" t="str">
        <f t="shared" si="7"/>
        <v>43335 AGENCIJA ZA MOBILNOST I PROGRAME EUROPSKE UNIJE</v>
      </c>
      <c r="M129" s="126">
        <v>43335</v>
      </c>
      <c r="N129" s="129" t="s">
        <v>445</v>
      </c>
      <c r="O129" s="130" t="s">
        <v>38</v>
      </c>
      <c r="P129" s="135" t="s">
        <v>446</v>
      </c>
      <c r="Q129" s="129" t="s">
        <v>25</v>
      </c>
      <c r="R129" s="127">
        <v>2298007</v>
      </c>
      <c r="S129" s="123" t="s">
        <v>447</v>
      </c>
      <c r="T129" s="124" t="s">
        <v>448</v>
      </c>
      <c r="U129" s="125" t="s">
        <v>449</v>
      </c>
    </row>
    <row r="130" spans="11:21" ht="15.75">
      <c r="K130" s="128">
        <f t="shared" si="5"/>
        <v>124</v>
      </c>
      <c r="L130" s="126" t="str">
        <f t="shared" si="7"/>
        <v>23962 AGENCIJA ZA ODGOJ I OBRAZOVANJE</v>
      </c>
      <c r="M130" s="126">
        <v>23962</v>
      </c>
      <c r="N130" s="129" t="s">
        <v>450</v>
      </c>
      <c r="O130" s="130" t="s">
        <v>38</v>
      </c>
      <c r="P130" s="135" t="s">
        <v>24</v>
      </c>
      <c r="Q130" s="129" t="s">
        <v>25</v>
      </c>
      <c r="R130" s="127">
        <v>1778129</v>
      </c>
      <c r="S130" s="123" t="s">
        <v>451</v>
      </c>
      <c r="T130" s="124" t="s">
        <v>448</v>
      </c>
      <c r="U130" s="125" t="s">
        <v>449</v>
      </c>
    </row>
    <row r="131" spans="11:21" ht="15.75">
      <c r="K131" s="128">
        <f t="shared" si="5"/>
        <v>125</v>
      </c>
      <c r="L131" s="126" t="str">
        <f t="shared" si="7"/>
        <v>46173 AGENCIJA ZA STRUKOVNO OBRAZOVANJE I OBRAZOVANJE ODRASLIH</v>
      </c>
      <c r="M131" s="126">
        <v>46173</v>
      </c>
      <c r="N131" s="129" t="s">
        <v>452</v>
      </c>
      <c r="O131" s="130" t="s">
        <v>38</v>
      </c>
      <c r="P131" s="135" t="s">
        <v>453</v>
      </c>
      <c r="Q131" s="129" t="s">
        <v>25</v>
      </c>
      <c r="R131" s="127">
        <v>2650029</v>
      </c>
      <c r="S131" s="123" t="s">
        <v>454</v>
      </c>
      <c r="T131" s="124" t="s">
        <v>448</v>
      </c>
      <c r="U131" s="125" t="s">
        <v>449</v>
      </c>
    </row>
    <row r="132" spans="11:21" ht="15.75">
      <c r="K132" s="128">
        <f t="shared" si="5"/>
        <v>126</v>
      </c>
      <c r="L132" s="126" t="str">
        <f t="shared" si="7"/>
        <v>38487 AGENCIJA ZA ZNANOST I VISOKO OBRAZOVANJE</v>
      </c>
      <c r="M132" s="126">
        <v>38487</v>
      </c>
      <c r="N132" s="129" t="s">
        <v>455</v>
      </c>
      <c r="O132" s="130" t="s">
        <v>38</v>
      </c>
      <c r="P132" s="129" t="s">
        <v>456</v>
      </c>
      <c r="Q132" s="129" t="s">
        <v>25</v>
      </c>
      <c r="R132" s="127">
        <v>1922548</v>
      </c>
      <c r="S132" s="123" t="s">
        <v>457</v>
      </c>
      <c r="T132" s="124" t="s">
        <v>448</v>
      </c>
      <c r="U132" s="125" t="s">
        <v>449</v>
      </c>
    </row>
    <row r="133" spans="11:21" ht="15.75">
      <c r="K133" s="128">
        <f t="shared" si="5"/>
        <v>127</v>
      </c>
      <c r="L133" s="126" t="str">
        <f t="shared" si="7"/>
        <v>21852 HRVATSKA AKADEMSKA I ISTRAŽIVAČKA MREŽA - CARNET</v>
      </c>
      <c r="M133" s="126">
        <v>21852</v>
      </c>
      <c r="N133" s="129" t="s">
        <v>458</v>
      </c>
      <c r="O133" s="130" t="s">
        <v>38</v>
      </c>
      <c r="P133" s="135" t="s">
        <v>459</v>
      </c>
      <c r="Q133" s="129" t="s">
        <v>25</v>
      </c>
      <c r="R133" s="127">
        <v>1147820</v>
      </c>
      <c r="S133" s="123" t="s">
        <v>460</v>
      </c>
      <c r="T133" s="124" t="s">
        <v>448</v>
      </c>
      <c r="U133" s="125" t="s">
        <v>449</v>
      </c>
    </row>
    <row r="134" spans="11:21" ht="15.75">
      <c r="K134" s="128">
        <f t="shared" si="5"/>
        <v>128</v>
      </c>
      <c r="L134" s="126" t="str">
        <f t="shared" si="7"/>
        <v>52209 HRVATSKA ZAKLADA ZA ZNANOST</v>
      </c>
      <c r="M134" s="126">
        <v>52209</v>
      </c>
      <c r="N134" s="129" t="s">
        <v>461</v>
      </c>
      <c r="O134" s="130" t="s">
        <v>38</v>
      </c>
      <c r="P134" s="135" t="s">
        <v>462</v>
      </c>
      <c r="Q134" s="129" t="s">
        <v>25</v>
      </c>
      <c r="R134" s="127">
        <v>1626841</v>
      </c>
      <c r="S134" s="123">
        <v>88776522763</v>
      </c>
      <c r="T134" s="124" t="s">
        <v>448</v>
      </c>
      <c r="U134" s="125" t="s">
        <v>463</v>
      </c>
    </row>
    <row r="135" spans="11:21" ht="15.75">
      <c r="K135" s="128">
        <f t="shared" si="5"/>
        <v>129</v>
      </c>
      <c r="L135" s="126" t="str">
        <f t="shared" si="7"/>
        <v>21869 LEKSIKOGRAFSKI ZAVOD MIROSLAV KRLEŽA</v>
      </c>
      <c r="M135" s="126">
        <v>21869</v>
      </c>
      <c r="N135" s="129" t="s">
        <v>464</v>
      </c>
      <c r="O135" s="130" t="s">
        <v>38</v>
      </c>
      <c r="P135" s="135" t="s">
        <v>446</v>
      </c>
      <c r="Q135" s="129" t="s">
        <v>25</v>
      </c>
      <c r="R135" s="127">
        <v>3211622</v>
      </c>
      <c r="S135" s="123" t="s">
        <v>465</v>
      </c>
      <c r="T135" s="124" t="s">
        <v>448</v>
      </c>
      <c r="U135" s="125" t="s">
        <v>449</v>
      </c>
    </row>
    <row r="136" spans="11:21" ht="15.75">
      <c r="K136" s="128">
        <f t="shared" ref="K136:K138" si="13">+K135+1</f>
        <v>130</v>
      </c>
      <c r="L136" s="126" t="str">
        <f t="shared" ref="L136:L138" si="14">M136&amp;" "&amp;N136</f>
        <v>21836 NACIONALNA I SVEUČILIŠNA KNJIŽNICA U ZAGREBU</v>
      </c>
      <c r="M136" s="126">
        <v>21836</v>
      </c>
      <c r="N136" s="129" t="s">
        <v>466</v>
      </c>
      <c r="O136" s="130" t="s">
        <v>38</v>
      </c>
      <c r="P136" s="135" t="s">
        <v>467</v>
      </c>
      <c r="Q136" s="129" t="s">
        <v>25</v>
      </c>
      <c r="R136" s="127">
        <v>3205363</v>
      </c>
      <c r="S136" s="123" t="s">
        <v>468</v>
      </c>
      <c r="T136" s="124" t="s">
        <v>448</v>
      </c>
      <c r="U136" s="125" t="s">
        <v>449</v>
      </c>
    </row>
    <row r="137" spans="11:21" ht="15.75">
      <c r="K137" s="128">
        <f t="shared" si="13"/>
        <v>131</v>
      </c>
      <c r="L137" s="126" t="str">
        <f t="shared" si="14"/>
        <v>40883 NACIONALNI CENTAR ZA VANJSKO VREDNOVANJE OBRAZOVANJA</v>
      </c>
      <c r="M137" s="126">
        <v>40883</v>
      </c>
      <c r="N137" s="129" t="s">
        <v>469</v>
      </c>
      <c r="O137" s="130" t="s">
        <v>38</v>
      </c>
      <c r="P137" s="135" t="s">
        <v>470</v>
      </c>
      <c r="Q137" s="129" t="s">
        <v>471</v>
      </c>
      <c r="R137" s="127">
        <v>1943430</v>
      </c>
      <c r="S137" s="123" t="s">
        <v>472</v>
      </c>
      <c r="T137" s="124" t="s">
        <v>448</v>
      </c>
      <c r="U137" s="125" t="s">
        <v>449</v>
      </c>
    </row>
    <row r="138" spans="11:21" ht="15.75">
      <c r="K138" s="128">
        <f t="shared" si="13"/>
        <v>132</v>
      </c>
      <c r="L138" s="126" t="str">
        <f t="shared" si="14"/>
        <v>23665 SVEUČILIŠTE U ZAGREBU - SVEUČILIŠNI RAČUNSKI CENTAR - SRCE</v>
      </c>
      <c r="M138" s="126">
        <v>23665</v>
      </c>
      <c r="N138" s="129" t="s">
        <v>473</v>
      </c>
      <c r="O138" s="130" t="s">
        <v>38</v>
      </c>
      <c r="P138" s="135" t="s">
        <v>459</v>
      </c>
      <c r="Q138" s="129" t="s">
        <v>25</v>
      </c>
      <c r="R138" s="127">
        <v>3283020</v>
      </c>
      <c r="S138" s="123" t="s">
        <v>474</v>
      </c>
      <c r="T138" s="124" t="s">
        <v>448</v>
      </c>
      <c r="U138" s="125" t="s">
        <v>449</v>
      </c>
    </row>
  </sheetData>
  <sheetProtection selectLockedCells="1"/>
  <sortState xmlns:xlrd2="http://schemas.microsoft.com/office/spreadsheetml/2017/richdata2" ref="K7:U136">
    <sortCondition ref="U7:U136"/>
    <sortCondition ref="M7:M136"/>
  </sortState>
  <dataConsolidate/>
  <mergeCells count="17">
    <mergeCell ref="C3:E3"/>
    <mergeCell ref="C4:E4"/>
    <mergeCell ref="C5:E5"/>
    <mergeCell ref="C6:E6"/>
    <mergeCell ref="B13:E13"/>
    <mergeCell ref="C7:E7"/>
    <mergeCell ref="B23:E23"/>
    <mergeCell ref="B32:E32"/>
    <mergeCell ref="B9:E9"/>
    <mergeCell ref="B11:E11"/>
    <mergeCell ref="B24:E24"/>
    <mergeCell ref="B70:E70"/>
    <mergeCell ref="B78:E78"/>
    <mergeCell ref="B55:E55"/>
    <mergeCell ref="B57:E57"/>
    <mergeCell ref="B59:E59"/>
    <mergeCell ref="B69:E69"/>
  </mergeCells>
  <phoneticPr fontId="33" type="noConversion"/>
  <dataValidations count="1">
    <dataValidation type="list" allowBlank="1" showInputMessage="1" showErrorMessage="1" prompt="Molimo odabrati proračunskog korisnika iz padajućeg izbornika!" sqref="C3:E3" xr:uid="{00000000-0002-0000-0000-000000000000}">
      <formula1>$L$6:$L$138</formula1>
    </dataValidation>
  </dataValidations>
  <hyperlinks>
    <hyperlink ref="C7:E7" r:id="rId1" display="gordana.mazalovic@kif.hr" xr:uid="{FA51825C-227E-4EF7-97EE-7F0F98B158E9}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H324"/>
  <sheetViews>
    <sheetView workbookViewId="0">
      <selection activeCell="C319" sqref="C1:C1048576"/>
    </sheetView>
  </sheetViews>
  <sheetFormatPr defaultRowHeight="15"/>
  <cols>
    <col min="1" max="1" width="14" customWidth="1"/>
    <col min="2" max="2" width="41.42578125" customWidth="1"/>
    <col min="4" max="4" width="62.7109375" customWidth="1"/>
    <col min="5" max="5" width="9.140625" style="221"/>
    <col min="6" max="6" width="43.140625" bestFit="1" customWidth="1"/>
    <col min="7" max="8" width="9.28515625" style="231" customWidth="1"/>
  </cols>
  <sheetData>
    <row r="1" spans="1:8" ht="25.5">
      <c r="A1" s="147" t="s">
        <v>3692</v>
      </c>
      <c r="B1" s="146" t="s">
        <v>38</v>
      </c>
    </row>
    <row r="2" spans="1:8">
      <c r="A2" s="114" t="s">
        <v>3693</v>
      </c>
      <c r="B2" s="122" t="s">
        <v>3694</v>
      </c>
    </row>
    <row r="3" spans="1:8">
      <c r="A3" s="229" t="s">
        <v>3695</v>
      </c>
      <c r="B3" s="229" t="s">
        <v>3696</v>
      </c>
      <c r="C3" s="229" t="s">
        <v>3697</v>
      </c>
      <c r="D3" s="229" t="s">
        <v>3696</v>
      </c>
      <c r="E3" s="245" t="s">
        <v>3698</v>
      </c>
      <c r="F3" s="229" t="s">
        <v>3696</v>
      </c>
      <c r="G3" s="232" t="s">
        <v>3696</v>
      </c>
      <c r="H3" s="232" t="s">
        <v>3696</v>
      </c>
    </row>
    <row r="4" spans="1:8">
      <c r="A4" s="230" t="s">
        <v>28</v>
      </c>
      <c r="B4" s="230" t="s">
        <v>3699</v>
      </c>
      <c r="C4" s="230" t="s">
        <v>640</v>
      </c>
      <c r="D4" s="230" t="s">
        <v>641</v>
      </c>
      <c r="E4" s="246" t="s">
        <v>642</v>
      </c>
      <c r="F4" s="230" t="s">
        <v>643</v>
      </c>
      <c r="G4" s="233" t="s">
        <v>644</v>
      </c>
      <c r="H4" s="233" t="s">
        <v>645</v>
      </c>
    </row>
    <row r="5" spans="1:8">
      <c r="A5" s="230" t="s">
        <v>28</v>
      </c>
      <c r="B5" s="230" t="s">
        <v>3699</v>
      </c>
      <c r="C5" s="230" t="s">
        <v>647</v>
      </c>
      <c r="D5" s="230" t="s">
        <v>648</v>
      </c>
      <c r="E5" s="246" t="s">
        <v>649</v>
      </c>
      <c r="F5" s="230" t="s">
        <v>650</v>
      </c>
      <c r="G5" s="233" t="s">
        <v>651</v>
      </c>
      <c r="H5" s="233" t="s">
        <v>652</v>
      </c>
    </row>
    <row r="6" spans="1:8">
      <c r="A6" s="230" t="s">
        <v>28</v>
      </c>
      <c r="B6" s="230" t="s">
        <v>3699</v>
      </c>
      <c r="C6" s="230" t="s">
        <v>655</v>
      </c>
      <c r="D6" s="230" t="s">
        <v>656</v>
      </c>
      <c r="E6" s="246" t="s">
        <v>657</v>
      </c>
      <c r="F6" s="230" t="s">
        <v>658</v>
      </c>
      <c r="G6" s="233" t="s">
        <v>644</v>
      </c>
      <c r="H6" s="233" t="s">
        <v>659</v>
      </c>
    </row>
    <row r="7" spans="1:8">
      <c r="A7" s="230" t="s">
        <v>28</v>
      </c>
      <c r="B7" s="230" t="s">
        <v>3699</v>
      </c>
      <c r="C7" s="230" t="s">
        <v>661</v>
      </c>
      <c r="D7" s="230" t="s">
        <v>662</v>
      </c>
      <c r="E7" s="246" t="s">
        <v>657</v>
      </c>
      <c r="F7" s="230" t="s">
        <v>658</v>
      </c>
      <c r="G7" s="233" t="s">
        <v>644</v>
      </c>
      <c r="H7" s="233" t="s">
        <v>659</v>
      </c>
    </row>
    <row r="8" spans="1:8">
      <c r="A8" s="230" t="s">
        <v>28</v>
      </c>
      <c r="B8" s="230" t="s">
        <v>3699</v>
      </c>
      <c r="C8" s="230" t="s">
        <v>661</v>
      </c>
      <c r="D8" s="230" t="s">
        <v>662</v>
      </c>
      <c r="E8" s="246" t="s">
        <v>664</v>
      </c>
      <c r="F8" s="230" t="s">
        <v>665</v>
      </c>
      <c r="G8" s="233" t="s">
        <v>644</v>
      </c>
      <c r="H8" s="233" t="s">
        <v>666</v>
      </c>
    </row>
    <row r="9" spans="1:8">
      <c r="A9" s="230" t="s">
        <v>28</v>
      </c>
      <c r="B9" s="230" t="s">
        <v>3699</v>
      </c>
      <c r="C9" s="230" t="s">
        <v>668</v>
      </c>
      <c r="D9" s="230" t="s">
        <v>669</v>
      </c>
      <c r="E9" s="246" t="s">
        <v>657</v>
      </c>
      <c r="F9" s="230" t="s">
        <v>658</v>
      </c>
      <c r="G9" s="233" t="s">
        <v>644</v>
      </c>
      <c r="H9" s="233" t="s">
        <v>659</v>
      </c>
    </row>
    <row r="10" spans="1:8">
      <c r="A10" s="230" t="s">
        <v>28</v>
      </c>
      <c r="B10" s="230" t="s">
        <v>3699</v>
      </c>
      <c r="C10" s="230" t="s">
        <v>671</v>
      </c>
      <c r="D10" s="230" t="s">
        <v>672</v>
      </c>
      <c r="E10" s="246" t="s">
        <v>657</v>
      </c>
      <c r="F10" s="230" t="s">
        <v>658</v>
      </c>
      <c r="G10" s="233" t="s">
        <v>644</v>
      </c>
      <c r="H10" s="233" t="s">
        <v>659</v>
      </c>
    </row>
    <row r="11" spans="1:8">
      <c r="A11" s="230" t="s">
        <v>28</v>
      </c>
      <c r="B11" s="230" t="s">
        <v>3699</v>
      </c>
      <c r="C11" s="230" t="s">
        <v>675</v>
      </c>
      <c r="D11" s="230" t="s">
        <v>676</v>
      </c>
      <c r="E11" s="246" t="s">
        <v>677</v>
      </c>
      <c r="F11" s="230" t="s">
        <v>678</v>
      </c>
      <c r="G11" s="233" t="s">
        <v>644</v>
      </c>
      <c r="H11" s="233" t="s">
        <v>679</v>
      </c>
    </row>
    <row r="12" spans="1:8">
      <c r="A12" s="230" t="s">
        <v>28</v>
      </c>
      <c r="B12" s="230" t="s">
        <v>3699</v>
      </c>
      <c r="C12" s="230" t="s">
        <v>681</v>
      </c>
      <c r="D12" s="230" t="s">
        <v>682</v>
      </c>
      <c r="E12" s="246" t="s">
        <v>642</v>
      </c>
      <c r="F12" s="230" t="s">
        <v>643</v>
      </c>
      <c r="G12" s="233" t="s">
        <v>644</v>
      </c>
      <c r="H12" s="233" t="s">
        <v>645</v>
      </c>
    </row>
    <row r="13" spans="1:8">
      <c r="A13" s="230" t="s">
        <v>28</v>
      </c>
      <c r="B13" s="230" t="s">
        <v>3699</v>
      </c>
      <c r="C13" s="230" t="s">
        <v>684</v>
      </c>
      <c r="D13" s="230" t="s">
        <v>685</v>
      </c>
      <c r="E13" s="246" t="s">
        <v>686</v>
      </c>
      <c r="F13" s="230" t="s">
        <v>687</v>
      </c>
      <c r="G13" s="233" t="s">
        <v>688</v>
      </c>
      <c r="H13" s="233" t="s">
        <v>689</v>
      </c>
    </row>
    <row r="14" spans="1:8">
      <c r="A14" s="230" t="s">
        <v>28</v>
      </c>
      <c r="B14" s="230" t="s">
        <v>3699</v>
      </c>
      <c r="C14" s="230" t="s">
        <v>691</v>
      </c>
      <c r="D14" s="230" t="s">
        <v>692</v>
      </c>
      <c r="E14" s="246" t="s">
        <v>657</v>
      </c>
      <c r="F14" s="230" t="s">
        <v>658</v>
      </c>
      <c r="G14" s="233" t="s">
        <v>644</v>
      </c>
      <c r="H14" s="233" t="s">
        <v>659</v>
      </c>
    </row>
    <row r="15" spans="1:8">
      <c r="A15" s="230" t="s">
        <v>28</v>
      </c>
      <c r="B15" s="230" t="s">
        <v>3699</v>
      </c>
      <c r="C15" s="230" t="s">
        <v>694</v>
      </c>
      <c r="D15" s="230" t="s">
        <v>695</v>
      </c>
      <c r="E15" s="246" t="s">
        <v>657</v>
      </c>
      <c r="F15" s="230" t="s">
        <v>658</v>
      </c>
      <c r="G15" s="233" t="s">
        <v>644</v>
      </c>
      <c r="H15" s="233" t="s">
        <v>659</v>
      </c>
    </row>
    <row r="16" spans="1:8">
      <c r="A16" s="230" t="s">
        <v>28</v>
      </c>
      <c r="B16" s="230" t="s">
        <v>3699</v>
      </c>
      <c r="C16" s="230" t="s">
        <v>697</v>
      </c>
      <c r="D16" s="230" t="s">
        <v>698</v>
      </c>
      <c r="E16" s="246" t="s">
        <v>657</v>
      </c>
      <c r="F16" s="230" t="s">
        <v>658</v>
      </c>
      <c r="G16" s="233" t="s">
        <v>644</v>
      </c>
      <c r="H16" s="233" t="s">
        <v>659</v>
      </c>
    </row>
    <row r="17" spans="1:8">
      <c r="A17" s="230" t="s">
        <v>28</v>
      </c>
      <c r="B17" s="230" t="s">
        <v>3699</v>
      </c>
      <c r="C17" s="230" t="s">
        <v>701</v>
      </c>
      <c r="D17" s="230" t="s">
        <v>702</v>
      </c>
      <c r="E17" s="246" t="s">
        <v>657</v>
      </c>
      <c r="F17" s="230" t="s">
        <v>658</v>
      </c>
      <c r="G17" s="233" t="s">
        <v>644</v>
      </c>
      <c r="H17" s="233" t="s">
        <v>659</v>
      </c>
    </row>
    <row r="18" spans="1:8">
      <c r="A18" s="230" t="s">
        <v>28</v>
      </c>
      <c r="B18" s="230" t="s">
        <v>3699</v>
      </c>
      <c r="C18" s="230" t="s">
        <v>705</v>
      </c>
      <c r="D18" s="230" t="s">
        <v>706</v>
      </c>
      <c r="E18" s="246" t="s">
        <v>642</v>
      </c>
      <c r="F18" s="230" t="s">
        <v>643</v>
      </c>
      <c r="G18" s="233" t="s">
        <v>644</v>
      </c>
      <c r="H18" s="233" t="s">
        <v>645</v>
      </c>
    </row>
    <row r="19" spans="1:8">
      <c r="A19" s="230" t="s">
        <v>28</v>
      </c>
      <c r="B19" s="230" t="s">
        <v>3699</v>
      </c>
      <c r="C19" s="230" t="s">
        <v>708</v>
      </c>
      <c r="D19" s="230" t="s">
        <v>709</v>
      </c>
      <c r="E19" s="246" t="s">
        <v>657</v>
      </c>
      <c r="F19" s="230" t="s">
        <v>658</v>
      </c>
      <c r="G19" s="233" t="s">
        <v>644</v>
      </c>
      <c r="H19" s="233" t="s">
        <v>659</v>
      </c>
    </row>
    <row r="20" spans="1:8">
      <c r="A20" s="230" t="s">
        <v>28</v>
      </c>
      <c r="B20" s="230" t="s">
        <v>3699</v>
      </c>
      <c r="C20" s="230" t="s">
        <v>711</v>
      </c>
      <c r="D20" s="230" t="s">
        <v>712</v>
      </c>
      <c r="E20" s="246" t="s">
        <v>664</v>
      </c>
      <c r="F20" s="230" t="s">
        <v>665</v>
      </c>
      <c r="G20" s="233" t="s">
        <v>644</v>
      </c>
      <c r="H20" s="233" t="s">
        <v>666</v>
      </c>
    </row>
    <row r="21" spans="1:8">
      <c r="A21" s="230" t="s">
        <v>28</v>
      </c>
      <c r="B21" s="230" t="s">
        <v>3699</v>
      </c>
      <c r="C21" s="230" t="s">
        <v>714</v>
      </c>
      <c r="D21" s="230" t="s">
        <v>715</v>
      </c>
      <c r="E21" s="246" t="s">
        <v>716</v>
      </c>
      <c r="F21" s="230" t="s">
        <v>717</v>
      </c>
      <c r="G21" s="233" t="s">
        <v>644</v>
      </c>
      <c r="H21" s="233" t="s">
        <v>645</v>
      </c>
    </row>
    <row r="22" spans="1:8">
      <c r="A22" s="230" t="s">
        <v>28</v>
      </c>
      <c r="B22" s="230" t="s">
        <v>3699</v>
      </c>
      <c r="C22" s="230" t="s">
        <v>719</v>
      </c>
      <c r="D22" s="230" t="s">
        <v>720</v>
      </c>
      <c r="E22" s="246" t="s">
        <v>716</v>
      </c>
      <c r="F22" s="230" t="s">
        <v>717</v>
      </c>
      <c r="G22" s="233" t="s">
        <v>644</v>
      </c>
      <c r="H22" s="233" t="s">
        <v>645</v>
      </c>
    </row>
    <row r="23" spans="1:8">
      <c r="A23" s="230" t="s">
        <v>28</v>
      </c>
      <c r="B23" s="230" t="s">
        <v>3699</v>
      </c>
      <c r="C23" s="230" t="s">
        <v>722</v>
      </c>
      <c r="D23" s="230" t="s">
        <v>723</v>
      </c>
      <c r="E23" s="246" t="s">
        <v>716</v>
      </c>
      <c r="F23" s="230" t="s">
        <v>717</v>
      </c>
      <c r="G23" s="233" t="s">
        <v>644</v>
      </c>
      <c r="H23" s="233" t="s">
        <v>645</v>
      </c>
    </row>
    <row r="24" spans="1:8">
      <c r="A24" s="230" t="s">
        <v>28</v>
      </c>
      <c r="B24" s="230" t="s">
        <v>3699</v>
      </c>
      <c r="C24" s="230" t="s">
        <v>725</v>
      </c>
      <c r="D24" s="230" t="s">
        <v>726</v>
      </c>
      <c r="E24" s="246" t="s">
        <v>716</v>
      </c>
      <c r="F24" s="230" t="s">
        <v>717</v>
      </c>
      <c r="G24" s="233" t="s">
        <v>644</v>
      </c>
      <c r="H24" s="233" t="s">
        <v>645</v>
      </c>
    </row>
    <row r="25" spans="1:8">
      <c r="A25" s="230" t="s">
        <v>28</v>
      </c>
      <c r="B25" s="230" t="s">
        <v>3699</v>
      </c>
      <c r="C25" s="230" t="s">
        <v>728</v>
      </c>
      <c r="D25" s="230" t="s">
        <v>729</v>
      </c>
      <c r="E25" s="246" t="s">
        <v>657</v>
      </c>
      <c r="F25" s="230" t="s">
        <v>658</v>
      </c>
      <c r="G25" s="233" t="s">
        <v>644</v>
      </c>
      <c r="H25" s="233" t="s">
        <v>659</v>
      </c>
    </row>
    <row r="26" spans="1:8">
      <c r="A26" s="230" t="s">
        <v>28</v>
      </c>
      <c r="B26" s="230" t="s">
        <v>3699</v>
      </c>
      <c r="C26" s="230" t="s">
        <v>731</v>
      </c>
      <c r="D26" s="230" t="s">
        <v>732</v>
      </c>
      <c r="E26" s="246" t="s">
        <v>664</v>
      </c>
      <c r="F26" s="230" t="s">
        <v>665</v>
      </c>
      <c r="G26" s="233" t="s">
        <v>644</v>
      </c>
      <c r="H26" s="233" t="s">
        <v>666</v>
      </c>
    </row>
    <row r="27" spans="1:8">
      <c r="A27" s="230" t="s">
        <v>28</v>
      </c>
      <c r="B27" s="230" t="s">
        <v>3699</v>
      </c>
      <c r="C27" s="230" t="s">
        <v>734</v>
      </c>
      <c r="D27" s="230" t="s">
        <v>735</v>
      </c>
      <c r="E27" s="246" t="s">
        <v>657</v>
      </c>
      <c r="F27" s="230" t="s">
        <v>658</v>
      </c>
      <c r="G27" s="233" t="s">
        <v>644</v>
      </c>
      <c r="H27" s="233" t="s">
        <v>659</v>
      </c>
    </row>
    <row r="28" spans="1:8">
      <c r="A28" s="230" t="s">
        <v>28</v>
      </c>
      <c r="B28" s="230" t="s">
        <v>3699</v>
      </c>
      <c r="C28" s="230" t="s">
        <v>737</v>
      </c>
      <c r="D28" s="230" t="s">
        <v>738</v>
      </c>
      <c r="E28" s="246" t="s">
        <v>649</v>
      </c>
      <c r="F28" s="230" t="s">
        <v>650</v>
      </c>
      <c r="G28" s="233" t="s">
        <v>651</v>
      </c>
      <c r="H28" s="233" t="s">
        <v>652</v>
      </c>
    </row>
    <row r="29" spans="1:8">
      <c r="A29" s="230" t="s">
        <v>28</v>
      </c>
      <c r="B29" s="230" t="s">
        <v>3699</v>
      </c>
      <c r="C29" s="230" t="s">
        <v>740</v>
      </c>
      <c r="D29" s="230" t="s">
        <v>741</v>
      </c>
      <c r="E29" s="246" t="s">
        <v>649</v>
      </c>
      <c r="F29" s="230" t="s">
        <v>650</v>
      </c>
      <c r="G29" s="233" t="s">
        <v>651</v>
      </c>
      <c r="H29" s="233" t="s">
        <v>652</v>
      </c>
    </row>
    <row r="30" spans="1:8">
      <c r="A30" s="230" t="s">
        <v>28</v>
      </c>
      <c r="B30" s="230" t="s">
        <v>3699</v>
      </c>
      <c r="C30" s="230" t="s">
        <v>743</v>
      </c>
      <c r="D30" s="230" t="s">
        <v>744</v>
      </c>
      <c r="E30" s="246" t="s">
        <v>657</v>
      </c>
      <c r="F30" s="230" t="s">
        <v>658</v>
      </c>
      <c r="G30" s="233" t="s">
        <v>644</v>
      </c>
      <c r="H30" s="233" t="s">
        <v>659</v>
      </c>
    </row>
    <row r="31" spans="1:8">
      <c r="A31" s="230" t="s">
        <v>28</v>
      </c>
      <c r="B31" s="230" t="s">
        <v>3699</v>
      </c>
      <c r="C31" s="230" t="s">
        <v>746</v>
      </c>
      <c r="D31" s="230" t="s">
        <v>747</v>
      </c>
      <c r="E31" s="246" t="s">
        <v>649</v>
      </c>
      <c r="F31" s="230" t="s">
        <v>650</v>
      </c>
      <c r="G31" s="233" t="s">
        <v>651</v>
      </c>
      <c r="H31" s="233" t="s">
        <v>652</v>
      </c>
    </row>
    <row r="32" spans="1:8">
      <c r="A32" s="230" t="s">
        <v>28</v>
      </c>
      <c r="B32" s="230" t="s">
        <v>3699</v>
      </c>
      <c r="C32" s="230" t="s">
        <v>749</v>
      </c>
      <c r="D32" s="230" t="s">
        <v>750</v>
      </c>
      <c r="E32" s="246" t="s">
        <v>657</v>
      </c>
      <c r="F32" s="230" t="s">
        <v>658</v>
      </c>
      <c r="G32" s="233" t="s">
        <v>644</v>
      </c>
      <c r="H32" s="233" t="s">
        <v>659</v>
      </c>
    </row>
    <row r="33" spans="1:8">
      <c r="A33" s="230" t="s">
        <v>28</v>
      </c>
      <c r="B33" s="230" t="s">
        <v>3699</v>
      </c>
      <c r="C33" s="230" t="s">
        <v>752</v>
      </c>
      <c r="D33" s="230" t="s">
        <v>753</v>
      </c>
      <c r="E33" s="246" t="s">
        <v>657</v>
      </c>
      <c r="F33" s="230" t="s">
        <v>658</v>
      </c>
      <c r="G33" s="233" t="s">
        <v>644</v>
      </c>
      <c r="H33" s="233" t="s">
        <v>659</v>
      </c>
    </row>
    <row r="34" spans="1:8">
      <c r="A34" s="230" t="s">
        <v>28</v>
      </c>
      <c r="B34" s="230" t="s">
        <v>3699</v>
      </c>
      <c r="C34" s="230" t="s">
        <v>755</v>
      </c>
      <c r="D34" s="230" t="s">
        <v>756</v>
      </c>
      <c r="E34" s="246" t="s">
        <v>657</v>
      </c>
      <c r="F34" s="230" t="s">
        <v>658</v>
      </c>
      <c r="G34" s="233" t="s">
        <v>644</v>
      </c>
      <c r="H34" s="233" t="s">
        <v>659</v>
      </c>
    </row>
    <row r="35" spans="1:8">
      <c r="A35" s="230" t="s">
        <v>28</v>
      </c>
      <c r="B35" s="230" t="s">
        <v>3699</v>
      </c>
      <c r="C35" s="230" t="s">
        <v>758</v>
      </c>
      <c r="D35" s="230" t="s">
        <v>759</v>
      </c>
      <c r="E35" s="246" t="s">
        <v>760</v>
      </c>
      <c r="F35" s="230" t="s">
        <v>761</v>
      </c>
      <c r="G35" s="233" t="s">
        <v>651</v>
      </c>
      <c r="H35" s="233" t="s">
        <v>762</v>
      </c>
    </row>
    <row r="36" spans="1:8">
      <c r="A36" s="230" t="s">
        <v>28</v>
      </c>
      <c r="B36" s="230" t="s">
        <v>3699</v>
      </c>
      <c r="C36" s="230" t="s">
        <v>758</v>
      </c>
      <c r="D36" s="230" t="s">
        <v>759</v>
      </c>
      <c r="E36" s="246" t="s">
        <v>642</v>
      </c>
      <c r="F36" s="230" t="s">
        <v>643</v>
      </c>
      <c r="G36" s="233" t="s">
        <v>644</v>
      </c>
      <c r="H36" s="233" t="s">
        <v>645</v>
      </c>
    </row>
    <row r="37" spans="1:8">
      <c r="A37" s="230" t="s">
        <v>28</v>
      </c>
      <c r="B37" s="230" t="s">
        <v>3699</v>
      </c>
      <c r="C37" s="230" t="s">
        <v>765</v>
      </c>
      <c r="D37" s="230" t="s">
        <v>766</v>
      </c>
      <c r="E37" s="246" t="s">
        <v>642</v>
      </c>
      <c r="F37" s="230" t="s">
        <v>643</v>
      </c>
      <c r="G37" s="233" t="s">
        <v>644</v>
      </c>
      <c r="H37" s="233" t="s">
        <v>645</v>
      </c>
    </row>
    <row r="38" spans="1:8">
      <c r="A38" s="230" t="s">
        <v>28</v>
      </c>
      <c r="B38" s="230" t="s">
        <v>3699</v>
      </c>
      <c r="C38" s="230" t="s">
        <v>768</v>
      </c>
      <c r="D38" s="230" t="s">
        <v>769</v>
      </c>
      <c r="E38" s="246" t="s">
        <v>657</v>
      </c>
      <c r="F38" s="230" t="s">
        <v>658</v>
      </c>
      <c r="G38" s="233" t="s">
        <v>644</v>
      </c>
      <c r="H38" s="233" t="s">
        <v>659</v>
      </c>
    </row>
    <row r="39" spans="1:8">
      <c r="A39" s="230" t="s">
        <v>28</v>
      </c>
      <c r="B39" s="230" t="s">
        <v>3699</v>
      </c>
      <c r="C39" s="230" t="s">
        <v>770</v>
      </c>
      <c r="D39" s="230" t="s">
        <v>771</v>
      </c>
      <c r="E39" s="246" t="s">
        <v>760</v>
      </c>
      <c r="F39" s="230" t="s">
        <v>761</v>
      </c>
      <c r="G39" s="233" t="s">
        <v>651</v>
      </c>
      <c r="H39" s="233" t="s">
        <v>762</v>
      </c>
    </row>
    <row r="40" spans="1:8">
      <c r="A40" s="230" t="s">
        <v>28</v>
      </c>
      <c r="B40" s="230" t="s">
        <v>3699</v>
      </c>
      <c r="C40" s="230" t="s">
        <v>770</v>
      </c>
      <c r="D40" s="230" t="s">
        <v>771</v>
      </c>
      <c r="E40" s="246" t="s">
        <v>642</v>
      </c>
      <c r="F40" s="230" t="s">
        <v>643</v>
      </c>
      <c r="G40" s="233" t="s">
        <v>644</v>
      </c>
      <c r="H40" s="233" t="s">
        <v>645</v>
      </c>
    </row>
    <row r="41" spans="1:8">
      <c r="A41" s="230" t="s">
        <v>28</v>
      </c>
      <c r="B41" s="230" t="s">
        <v>3699</v>
      </c>
      <c r="C41" s="230" t="s">
        <v>774</v>
      </c>
      <c r="D41" s="230" t="s">
        <v>775</v>
      </c>
      <c r="E41" s="246" t="s">
        <v>642</v>
      </c>
      <c r="F41" s="230" t="s">
        <v>643</v>
      </c>
      <c r="G41" s="233" t="s">
        <v>644</v>
      </c>
      <c r="H41" s="233" t="s">
        <v>645</v>
      </c>
    </row>
    <row r="42" spans="1:8">
      <c r="A42" s="230" t="s">
        <v>28</v>
      </c>
      <c r="B42" s="230" t="s">
        <v>3699</v>
      </c>
      <c r="C42" s="230" t="s">
        <v>777</v>
      </c>
      <c r="D42" s="230" t="s">
        <v>778</v>
      </c>
      <c r="E42" s="246" t="s">
        <v>760</v>
      </c>
      <c r="F42" s="230" t="s">
        <v>761</v>
      </c>
      <c r="G42" s="233" t="s">
        <v>651</v>
      </c>
      <c r="H42" s="233" t="s">
        <v>762</v>
      </c>
    </row>
    <row r="43" spans="1:8">
      <c r="A43" s="230" t="s">
        <v>28</v>
      </c>
      <c r="B43" s="230" t="s">
        <v>3699</v>
      </c>
      <c r="C43" s="230" t="s">
        <v>777</v>
      </c>
      <c r="D43" s="230" t="s">
        <v>778</v>
      </c>
      <c r="E43" s="246" t="s">
        <v>780</v>
      </c>
      <c r="F43" s="230" t="s">
        <v>781</v>
      </c>
      <c r="G43" s="233" t="s">
        <v>644</v>
      </c>
      <c r="H43" s="233" t="s">
        <v>782</v>
      </c>
    </row>
    <row r="44" spans="1:8">
      <c r="A44" s="230" t="s">
        <v>28</v>
      </c>
      <c r="B44" s="230" t="s">
        <v>3699</v>
      </c>
      <c r="C44" s="230" t="s">
        <v>784</v>
      </c>
      <c r="D44" s="230" t="s">
        <v>785</v>
      </c>
      <c r="E44" s="246" t="s">
        <v>780</v>
      </c>
      <c r="F44" s="230" t="s">
        <v>781</v>
      </c>
      <c r="G44" s="233" t="s">
        <v>644</v>
      </c>
      <c r="H44" s="233" t="s">
        <v>782</v>
      </c>
    </row>
    <row r="45" spans="1:8">
      <c r="A45" s="230" t="s">
        <v>28</v>
      </c>
      <c r="B45" s="230" t="s">
        <v>3699</v>
      </c>
      <c r="C45" s="230" t="s">
        <v>787</v>
      </c>
      <c r="D45" s="230" t="s">
        <v>788</v>
      </c>
      <c r="E45" s="246" t="s">
        <v>780</v>
      </c>
      <c r="F45" s="230" t="s">
        <v>781</v>
      </c>
      <c r="G45" s="233" t="s">
        <v>644</v>
      </c>
      <c r="H45" s="233" t="s">
        <v>782</v>
      </c>
    </row>
    <row r="46" spans="1:8">
      <c r="A46" s="230" t="s">
        <v>28</v>
      </c>
      <c r="B46" s="230" t="s">
        <v>3699</v>
      </c>
      <c r="C46" s="230" t="s">
        <v>790</v>
      </c>
      <c r="D46" s="230" t="s">
        <v>771</v>
      </c>
      <c r="E46" s="246" t="s">
        <v>760</v>
      </c>
      <c r="F46" s="230" t="s">
        <v>761</v>
      </c>
      <c r="G46" s="233" t="s">
        <v>651</v>
      </c>
      <c r="H46" s="233" t="s">
        <v>762</v>
      </c>
    </row>
    <row r="47" spans="1:8">
      <c r="A47" s="230" t="s">
        <v>28</v>
      </c>
      <c r="B47" s="230" t="s">
        <v>3699</v>
      </c>
      <c r="C47" s="230" t="s">
        <v>792</v>
      </c>
      <c r="D47" s="230" t="s">
        <v>793</v>
      </c>
      <c r="E47" s="246" t="s">
        <v>780</v>
      </c>
      <c r="F47" s="230" t="s">
        <v>781</v>
      </c>
      <c r="G47" s="233" t="s">
        <v>644</v>
      </c>
      <c r="H47" s="233" t="s">
        <v>782</v>
      </c>
    </row>
    <row r="48" spans="1:8">
      <c r="A48" s="230" t="s">
        <v>28</v>
      </c>
      <c r="B48" s="230" t="s">
        <v>3699</v>
      </c>
      <c r="C48" s="230" t="s">
        <v>795</v>
      </c>
      <c r="D48" s="230" t="s">
        <v>796</v>
      </c>
      <c r="E48" s="246" t="s">
        <v>780</v>
      </c>
      <c r="F48" s="230" t="s">
        <v>781</v>
      </c>
      <c r="G48" s="233" t="s">
        <v>644</v>
      </c>
      <c r="H48" s="233" t="s">
        <v>782</v>
      </c>
    </row>
    <row r="49" spans="1:8">
      <c r="A49" s="230" t="s">
        <v>28</v>
      </c>
      <c r="B49" s="230" t="s">
        <v>3699</v>
      </c>
      <c r="C49" s="230" t="s">
        <v>798</v>
      </c>
      <c r="D49" s="230" t="s">
        <v>799</v>
      </c>
      <c r="E49" s="246" t="s">
        <v>780</v>
      </c>
      <c r="F49" s="230" t="s">
        <v>781</v>
      </c>
      <c r="G49" s="233" t="s">
        <v>644</v>
      </c>
      <c r="H49" s="233" t="s">
        <v>782</v>
      </c>
    </row>
    <row r="50" spans="1:8">
      <c r="A50" s="230" t="s">
        <v>28</v>
      </c>
      <c r="B50" s="230" t="s">
        <v>3699</v>
      </c>
      <c r="C50" s="230" t="s">
        <v>801</v>
      </c>
      <c r="D50" s="230" t="s">
        <v>802</v>
      </c>
      <c r="E50" s="246" t="s">
        <v>803</v>
      </c>
      <c r="F50" s="230" t="s">
        <v>804</v>
      </c>
      <c r="G50" s="233" t="s">
        <v>644</v>
      </c>
      <c r="H50" s="233" t="s">
        <v>805</v>
      </c>
    </row>
    <row r="51" spans="1:8">
      <c r="A51" s="230" t="s">
        <v>28</v>
      </c>
      <c r="B51" s="230" t="s">
        <v>3699</v>
      </c>
      <c r="C51" s="230" t="s">
        <v>807</v>
      </c>
      <c r="D51" s="230" t="s">
        <v>808</v>
      </c>
      <c r="E51" s="246" t="s">
        <v>803</v>
      </c>
      <c r="F51" s="230" t="s">
        <v>804</v>
      </c>
      <c r="G51" s="233" t="s">
        <v>644</v>
      </c>
      <c r="H51" s="233" t="s">
        <v>805</v>
      </c>
    </row>
    <row r="52" spans="1:8">
      <c r="A52" s="230" t="s">
        <v>28</v>
      </c>
      <c r="B52" s="230" t="s">
        <v>3699</v>
      </c>
      <c r="C52" s="230" t="s">
        <v>810</v>
      </c>
      <c r="D52" s="230" t="s">
        <v>811</v>
      </c>
      <c r="E52" s="246" t="s">
        <v>803</v>
      </c>
      <c r="F52" s="230" t="s">
        <v>804</v>
      </c>
      <c r="G52" s="233" t="s">
        <v>644</v>
      </c>
      <c r="H52" s="233" t="s">
        <v>805</v>
      </c>
    </row>
    <row r="53" spans="1:8">
      <c r="A53" s="230" t="s">
        <v>28</v>
      </c>
      <c r="B53" s="230" t="s">
        <v>3699</v>
      </c>
      <c r="C53" s="230" t="s">
        <v>813</v>
      </c>
      <c r="D53" s="230" t="s">
        <v>814</v>
      </c>
      <c r="E53" s="246" t="s">
        <v>803</v>
      </c>
      <c r="F53" s="230" t="s">
        <v>804</v>
      </c>
      <c r="G53" s="233" t="s">
        <v>644</v>
      </c>
      <c r="H53" s="233" t="s">
        <v>805</v>
      </c>
    </row>
    <row r="54" spans="1:8">
      <c r="A54" s="230" t="s">
        <v>28</v>
      </c>
      <c r="B54" s="230" t="s">
        <v>3699</v>
      </c>
      <c r="C54" s="230" t="s">
        <v>816</v>
      </c>
      <c r="D54" s="230" t="s">
        <v>817</v>
      </c>
      <c r="E54" s="246" t="s">
        <v>803</v>
      </c>
      <c r="F54" s="230" t="s">
        <v>804</v>
      </c>
      <c r="G54" s="233" t="s">
        <v>644</v>
      </c>
      <c r="H54" s="233" t="s">
        <v>805</v>
      </c>
    </row>
    <row r="55" spans="1:8">
      <c r="A55" s="230" t="s">
        <v>28</v>
      </c>
      <c r="B55" s="230" t="s">
        <v>3699</v>
      </c>
      <c r="C55" s="230" t="s">
        <v>819</v>
      </c>
      <c r="D55" s="230" t="s">
        <v>820</v>
      </c>
      <c r="E55" s="246" t="s">
        <v>803</v>
      </c>
      <c r="F55" s="230" t="s">
        <v>804</v>
      </c>
      <c r="G55" s="233" t="s">
        <v>644</v>
      </c>
      <c r="H55" s="233" t="s">
        <v>805</v>
      </c>
    </row>
    <row r="56" spans="1:8">
      <c r="A56" s="230" t="s">
        <v>28</v>
      </c>
      <c r="B56" s="230" t="s">
        <v>3699</v>
      </c>
      <c r="C56" s="230" t="s">
        <v>822</v>
      </c>
      <c r="D56" s="230" t="s">
        <v>823</v>
      </c>
      <c r="E56" s="246" t="s">
        <v>803</v>
      </c>
      <c r="F56" s="230" t="s">
        <v>804</v>
      </c>
      <c r="G56" s="233" t="s">
        <v>644</v>
      </c>
      <c r="H56" s="233" t="s">
        <v>805</v>
      </c>
    </row>
    <row r="57" spans="1:8">
      <c r="A57" s="230" t="s">
        <v>28</v>
      </c>
      <c r="B57" s="230" t="s">
        <v>3699</v>
      </c>
      <c r="C57" s="230" t="s">
        <v>825</v>
      </c>
      <c r="D57" s="230" t="s">
        <v>826</v>
      </c>
      <c r="E57" s="246" t="s">
        <v>803</v>
      </c>
      <c r="F57" s="230" t="s">
        <v>804</v>
      </c>
      <c r="G57" s="233" t="s">
        <v>644</v>
      </c>
      <c r="H57" s="233" t="s">
        <v>805</v>
      </c>
    </row>
    <row r="58" spans="1:8">
      <c r="A58" s="230" t="s">
        <v>28</v>
      </c>
      <c r="B58" s="230" t="s">
        <v>3699</v>
      </c>
      <c r="C58" s="230" t="s">
        <v>828</v>
      </c>
      <c r="D58" s="230" t="s">
        <v>829</v>
      </c>
      <c r="E58" s="246" t="s">
        <v>803</v>
      </c>
      <c r="F58" s="230" t="s">
        <v>804</v>
      </c>
      <c r="G58" s="233" t="s">
        <v>644</v>
      </c>
      <c r="H58" s="233" t="s">
        <v>805</v>
      </c>
    </row>
    <row r="59" spans="1:8">
      <c r="A59" s="230" t="s">
        <v>28</v>
      </c>
      <c r="B59" s="230" t="s">
        <v>3699</v>
      </c>
      <c r="C59" s="230" t="s">
        <v>830</v>
      </c>
      <c r="D59" s="230" t="s">
        <v>831</v>
      </c>
      <c r="E59" s="246" t="s">
        <v>677</v>
      </c>
      <c r="F59" s="230" t="s">
        <v>678</v>
      </c>
      <c r="G59" s="233" t="s">
        <v>644</v>
      </c>
      <c r="H59" s="233" t="s">
        <v>679</v>
      </c>
    </row>
    <row r="60" spans="1:8">
      <c r="A60" s="230" t="s">
        <v>28</v>
      </c>
      <c r="B60" s="230" t="s">
        <v>3699</v>
      </c>
      <c r="C60" s="230" t="s">
        <v>832</v>
      </c>
      <c r="D60" s="230" t="s">
        <v>833</v>
      </c>
      <c r="E60" s="246" t="s">
        <v>677</v>
      </c>
      <c r="F60" s="230" t="s">
        <v>678</v>
      </c>
      <c r="G60" s="233" t="s">
        <v>644</v>
      </c>
      <c r="H60" s="233" t="s">
        <v>679</v>
      </c>
    </row>
    <row r="61" spans="1:8">
      <c r="A61" s="230" t="s">
        <v>28</v>
      </c>
      <c r="B61" s="230" t="s">
        <v>3699</v>
      </c>
      <c r="C61" s="230" t="s">
        <v>835</v>
      </c>
      <c r="D61" s="230" t="s">
        <v>836</v>
      </c>
      <c r="E61" s="246" t="s">
        <v>677</v>
      </c>
      <c r="F61" s="230" t="s">
        <v>678</v>
      </c>
      <c r="G61" s="233" t="s">
        <v>644</v>
      </c>
      <c r="H61" s="233" t="s">
        <v>679</v>
      </c>
    </row>
    <row r="62" spans="1:8">
      <c r="A62" s="230" t="s">
        <v>28</v>
      </c>
      <c r="B62" s="230" t="s">
        <v>3699</v>
      </c>
      <c r="C62" s="230" t="s">
        <v>838</v>
      </c>
      <c r="D62" s="230" t="s">
        <v>839</v>
      </c>
      <c r="E62" s="246" t="s">
        <v>803</v>
      </c>
      <c r="F62" s="230" t="s">
        <v>804</v>
      </c>
      <c r="G62" s="233" t="s">
        <v>644</v>
      </c>
      <c r="H62" s="233" t="s">
        <v>805</v>
      </c>
    </row>
    <row r="63" spans="1:8">
      <c r="A63" s="230" t="s">
        <v>28</v>
      </c>
      <c r="B63" s="230" t="s">
        <v>3699</v>
      </c>
      <c r="C63" s="230" t="s">
        <v>841</v>
      </c>
      <c r="D63" s="230" t="s">
        <v>842</v>
      </c>
      <c r="E63" s="246" t="s">
        <v>677</v>
      </c>
      <c r="F63" s="230" t="s">
        <v>678</v>
      </c>
      <c r="G63" s="233" t="s">
        <v>644</v>
      </c>
      <c r="H63" s="233" t="s">
        <v>679</v>
      </c>
    </row>
    <row r="64" spans="1:8">
      <c r="A64" s="230" t="s">
        <v>28</v>
      </c>
      <c r="B64" s="230" t="s">
        <v>3699</v>
      </c>
      <c r="C64" s="230" t="s">
        <v>844</v>
      </c>
      <c r="D64" s="230" t="s">
        <v>845</v>
      </c>
      <c r="E64" s="246" t="s">
        <v>649</v>
      </c>
      <c r="F64" s="230" t="s">
        <v>650</v>
      </c>
      <c r="G64" s="233" t="s">
        <v>651</v>
      </c>
      <c r="H64" s="233" t="s">
        <v>652</v>
      </c>
    </row>
    <row r="65" spans="1:8">
      <c r="A65" s="230" t="s">
        <v>28</v>
      </c>
      <c r="B65" s="230" t="s">
        <v>3699</v>
      </c>
      <c r="C65" s="230" t="s">
        <v>847</v>
      </c>
      <c r="D65" s="230" t="s">
        <v>848</v>
      </c>
      <c r="E65" s="246" t="s">
        <v>649</v>
      </c>
      <c r="F65" s="230" t="s">
        <v>650</v>
      </c>
      <c r="G65" s="233" t="s">
        <v>651</v>
      </c>
      <c r="H65" s="233" t="s">
        <v>652</v>
      </c>
    </row>
    <row r="66" spans="1:8">
      <c r="A66" s="230" t="s">
        <v>28</v>
      </c>
      <c r="B66" s="230" t="s">
        <v>3699</v>
      </c>
      <c r="C66" s="230" t="s">
        <v>850</v>
      </c>
      <c r="D66" s="230" t="s">
        <v>851</v>
      </c>
      <c r="E66" s="246" t="s">
        <v>649</v>
      </c>
      <c r="F66" s="230" t="s">
        <v>650</v>
      </c>
      <c r="G66" s="233" t="s">
        <v>651</v>
      </c>
      <c r="H66" s="233" t="s">
        <v>652</v>
      </c>
    </row>
    <row r="67" spans="1:8">
      <c r="A67" s="230" t="s">
        <v>28</v>
      </c>
      <c r="B67" s="230" t="s">
        <v>3699</v>
      </c>
      <c r="C67" s="230" t="s">
        <v>853</v>
      </c>
      <c r="D67" s="230" t="s">
        <v>854</v>
      </c>
      <c r="E67" s="246" t="s">
        <v>649</v>
      </c>
      <c r="F67" s="230" t="s">
        <v>650</v>
      </c>
      <c r="G67" s="233" t="s">
        <v>651</v>
      </c>
      <c r="H67" s="233" t="s">
        <v>652</v>
      </c>
    </row>
    <row r="68" spans="1:8">
      <c r="A68" s="230" t="s">
        <v>28</v>
      </c>
      <c r="B68" s="230" t="s">
        <v>3699</v>
      </c>
      <c r="C68" s="230" t="s">
        <v>856</v>
      </c>
      <c r="D68" s="230" t="s">
        <v>857</v>
      </c>
      <c r="E68" s="246" t="s">
        <v>649</v>
      </c>
      <c r="F68" s="230" t="s">
        <v>650</v>
      </c>
      <c r="G68" s="233" t="s">
        <v>651</v>
      </c>
      <c r="H68" s="233" t="s">
        <v>652</v>
      </c>
    </row>
    <row r="69" spans="1:8">
      <c r="A69" s="230" t="s">
        <v>28</v>
      </c>
      <c r="B69" s="230" t="s">
        <v>3699</v>
      </c>
      <c r="C69" s="230" t="s">
        <v>859</v>
      </c>
      <c r="D69" s="230" t="s">
        <v>860</v>
      </c>
      <c r="E69" s="246" t="s">
        <v>649</v>
      </c>
      <c r="F69" s="230" t="s">
        <v>650</v>
      </c>
      <c r="G69" s="233" t="s">
        <v>651</v>
      </c>
      <c r="H69" s="233" t="s">
        <v>652</v>
      </c>
    </row>
    <row r="70" spans="1:8">
      <c r="A70" s="230" t="s">
        <v>28</v>
      </c>
      <c r="B70" s="230" t="s">
        <v>3699</v>
      </c>
      <c r="C70" s="230" t="s">
        <v>862</v>
      </c>
      <c r="D70" s="230" t="s">
        <v>863</v>
      </c>
      <c r="E70" s="246" t="s">
        <v>649</v>
      </c>
      <c r="F70" s="230" t="s">
        <v>650</v>
      </c>
      <c r="G70" s="233" t="s">
        <v>651</v>
      </c>
      <c r="H70" s="233" t="s">
        <v>652</v>
      </c>
    </row>
    <row r="71" spans="1:8">
      <c r="A71" s="230" t="s">
        <v>28</v>
      </c>
      <c r="B71" s="230" t="s">
        <v>3699</v>
      </c>
      <c r="C71" s="230" t="s">
        <v>865</v>
      </c>
      <c r="D71" s="230" t="s">
        <v>866</v>
      </c>
      <c r="E71" s="246" t="s">
        <v>657</v>
      </c>
      <c r="F71" s="230" t="s">
        <v>658</v>
      </c>
      <c r="G71" s="233" t="s">
        <v>644</v>
      </c>
      <c r="H71" s="233" t="s">
        <v>659</v>
      </c>
    </row>
    <row r="72" spans="1:8">
      <c r="A72" s="230" t="s">
        <v>28</v>
      </c>
      <c r="B72" s="230" t="s">
        <v>3699</v>
      </c>
      <c r="C72" s="230" t="s">
        <v>868</v>
      </c>
      <c r="D72" s="230" t="s">
        <v>869</v>
      </c>
      <c r="E72" s="246" t="s">
        <v>657</v>
      </c>
      <c r="F72" s="230" t="s">
        <v>658</v>
      </c>
      <c r="G72" s="233" t="s">
        <v>644</v>
      </c>
      <c r="H72" s="233" t="s">
        <v>659</v>
      </c>
    </row>
    <row r="73" spans="1:8">
      <c r="A73" s="230" t="s">
        <v>28</v>
      </c>
      <c r="B73" s="230" t="s">
        <v>3699</v>
      </c>
      <c r="C73" s="230" t="s">
        <v>871</v>
      </c>
      <c r="D73" s="230" t="s">
        <v>872</v>
      </c>
      <c r="E73" s="246" t="s">
        <v>649</v>
      </c>
      <c r="F73" s="230" t="s">
        <v>650</v>
      </c>
      <c r="G73" s="233" t="s">
        <v>651</v>
      </c>
      <c r="H73" s="233" t="s">
        <v>652</v>
      </c>
    </row>
    <row r="74" spans="1:8">
      <c r="A74" s="230" t="s">
        <v>28</v>
      </c>
      <c r="B74" s="230" t="s">
        <v>3699</v>
      </c>
      <c r="C74" s="230" t="s">
        <v>874</v>
      </c>
      <c r="D74" s="230" t="s">
        <v>875</v>
      </c>
      <c r="E74" s="246" t="s">
        <v>657</v>
      </c>
      <c r="F74" s="230" t="s">
        <v>658</v>
      </c>
      <c r="G74" s="233" t="s">
        <v>644</v>
      </c>
      <c r="H74" s="233" t="s">
        <v>659</v>
      </c>
    </row>
    <row r="75" spans="1:8">
      <c r="A75" s="230" t="s">
        <v>28</v>
      </c>
      <c r="B75" s="230" t="s">
        <v>3699</v>
      </c>
      <c r="C75" s="230" t="s">
        <v>877</v>
      </c>
      <c r="D75" s="230" t="s">
        <v>878</v>
      </c>
      <c r="E75" s="246" t="s">
        <v>657</v>
      </c>
      <c r="F75" s="230" t="s">
        <v>658</v>
      </c>
      <c r="G75" s="233" t="s">
        <v>644</v>
      </c>
      <c r="H75" s="233" t="s">
        <v>659</v>
      </c>
    </row>
    <row r="76" spans="1:8">
      <c r="A76" s="230" t="s">
        <v>28</v>
      </c>
      <c r="B76" s="230" t="s">
        <v>3699</v>
      </c>
      <c r="C76" s="230" t="s">
        <v>880</v>
      </c>
      <c r="D76" s="230" t="s">
        <v>881</v>
      </c>
      <c r="E76" s="246" t="s">
        <v>649</v>
      </c>
      <c r="F76" s="230" t="s">
        <v>650</v>
      </c>
      <c r="G76" s="233" t="s">
        <v>651</v>
      </c>
      <c r="H76" s="233" t="s">
        <v>652</v>
      </c>
    </row>
    <row r="77" spans="1:8">
      <c r="A77" s="230" t="s">
        <v>28</v>
      </c>
      <c r="B77" s="230" t="s">
        <v>3699</v>
      </c>
      <c r="C77" s="230" t="s">
        <v>883</v>
      </c>
      <c r="D77" s="230" t="s">
        <v>884</v>
      </c>
      <c r="E77" s="246" t="s">
        <v>657</v>
      </c>
      <c r="F77" s="230" t="s">
        <v>658</v>
      </c>
      <c r="G77" s="233" t="s">
        <v>644</v>
      </c>
      <c r="H77" s="233" t="s">
        <v>659</v>
      </c>
    </row>
    <row r="78" spans="1:8">
      <c r="A78" s="230" t="s">
        <v>28</v>
      </c>
      <c r="B78" s="230" t="s">
        <v>3699</v>
      </c>
      <c r="C78" s="230" t="s">
        <v>886</v>
      </c>
      <c r="D78" s="230" t="s">
        <v>887</v>
      </c>
      <c r="E78" s="246" t="s">
        <v>677</v>
      </c>
      <c r="F78" s="230" t="s">
        <v>678</v>
      </c>
      <c r="G78" s="233" t="s">
        <v>644</v>
      </c>
      <c r="H78" s="233" t="s">
        <v>679</v>
      </c>
    </row>
    <row r="79" spans="1:8">
      <c r="A79" s="230" t="s">
        <v>28</v>
      </c>
      <c r="B79" s="230" t="s">
        <v>3699</v>
      </c>
      <c r="C79" s="230" t="s">
        <v>889</v>
      </c>
      <c r="D79" s="230" t="s">
        <v>890</v>
      </c>
      <c r="E79" s="246" t="s">
        <v>677</v>
      </c>
      <c r="F79" s="230" t="s">
        <v>678</v>
      </c>
      <c r="G79" s="233" t="s">
        <v>644</v>
      </c>
      <c r="H79" s="233" t="s">
        <v>679</v>
      </c>
    </row>
    <row r="80" spans="1:8">
      <c r="A80" s="230" t="s">
        <v>28</v>
      </c>
      <c r="B80" s="230" t="s">
        <v>3699</v>
      </c>
      <c r="C80" s="230" t="s">
        <v>892</v>
      </c>
      <c r="D80" s="230" t="s">
        <v>893</v>
      </c>
      <c r="E80" s="246" t="s">
        <v>677</v>
      </c>
      <c r="F80" s="230" t="s">
        <v>678</v>
      </c>
      <c r="G80" s="233" t="s">
        <v>644</v>
      </c>
      <c r="H80" s="233" t="s">
        <v>679</v>
      </c>
    </row>
    <row r="81" spans="1:8">
      <c r="A81" s="230" t="s">
        <v>28</v>
      </c>
      <c r="B81" s="230" t="s">
        <v>3699</v>
      </c>
      <c r="C81" s="230" t="s">
        <v>895</v>
      </c>
      <c r="D81" s="230" t="s">
        <v>896</v>
      </c>
      <c r="E81" s="246" t="s">
        <v>677</v>
      </c>
      <c r="F81" s="230" t="s">
        <v>678</v>
      </c>
      <c r="G81" s="233" t="s">
        <v>644</v>
      </c>
      <c r="H81" s="233" t="s">
        <v>679</v>
      </c>
    </row>
    <row r="82" spans="1:8">
      <c r="A82" s="230" t="s">
        <v>28</v>
      </c>
      <c r="B82" s="230" t="s">
        <v>3699</v>
      </c>
      <c r="C82" s="230" t="s">
        <v>898</v>
      </c>
      <c r="D82" s="230" t="s">
        <v>899</v>
      </c>
      <c r="E82" s="246" t="s">
        <v>677</v>
      </c>
      <c r="F82" s="230" t="s">
        <v>678</v>
      </c>
      <c r="G82" s="233" t="s">
        <v>644</v>
      </c>
      <c r="H82" s="233" t="s">
        <v>679</v>
      </c>
    </row>
    <row r="83" spans="1:8">
      <c r="A83" s="230" t="s">
        <v>28</v>
      </c>
      <c r="B83" s="230" t="s">
        <v>3699</v>
      </c>
      <c r="C83" s="230" t="s">
        <v>901</v>
      </c>
      <c r="D83" s="230" t="s">
        <v>902</v>
      </c>
      <c r="E83" s="246" t="s">
        <v>657</v>
      </c>
      <c r="F83" s="230" t="s">
        <v>658</v>
      </c>
      <c r="G83" s="233" t="s">
        <v>644</v>
      </c>
      <c r="H83" s="233" t="s">
        <v>659</v>
      </c>
    </row>
    <row r="84" spans="1:8">
      <c r="A84" s="230" t="s">
        <v>28</v>
      </c>
      <c r="B84" s="230" t="s">
        <v>3699</v>
      </c>
      <c r="C84" s="230" t="s">
        <v>904</v>
      </c>
      <c r="D84" s="230" t="s">
        <v>905</v>
      </c>
      <c r="E84" s="246" t="s">
        <v>649</v>
      </c>
      <c r="F84" s="230" t="s">
        <v>650</v>
      </c>
      <c r="G84" s="233" t="s">
        <v>651</v>
      </c>
      <c r="H84" s="233" t="s">
        <v>652</v>
      </c>
    </row>
    <row r="85" spans="1:8">
      <c r="A85" s="230" t="s">
        <v>28</v>
      </c>
      <c r="B85" s="230" t="s">
        <v>3699</v>
      </c>
      <c r="C85" s="230" t="s">
        <v>904</v>
      </c>
      <c r="D85" s="230" t="s">
        <v>905</v>
      </c>
      <c r="E85" s="246" t="s">
        <v>657</v>
      </c>
      <c r="F85" s="230" t="s">
        <v>658</v>
      </c>
      <c r="G85" s="233" t="s">
        <v>644</v>
      </c>
      <c r="H85" s="233" t="s">
        <v>659</v>
      </c>
    </row>
    <row r="86" spans="1:8">
      <c r="A86" s="230" t="s">
        <v>28</v>
      </c>
      <c r="B86" s="230" t="s">
        <v>3699</v>
      </c>
      <c r="C86" s="230" t="s">
        <v>908</v>
      </c>
      <c r="D86" s="230" t="s">
        <v>909</v>
      </c>
      <c r="E86" s="246" t="s">
        <v>657</v>
      </c>
      <c r="F86" s="230" t="s">
        <v>658</v>
      </c>
      <c r="G86" s="233" t="s">
        <v>644</v>
      </c>
      <c r="H86" s="233" t="s">
        <v>659</v>
      </c>
    </row>
    <row r="87" spans="1:8">
      <c r="A87" s="230" t="s">
        <v>28</v>
      </c>
      <c r="B87" s="230" t="s">
        <v>3699</v>
      </c>
      <c r="C87" s="230" t="s">
        <v>911</v>
      </c>
      <c r="D87" s="230" t="s">
        <v>912</v>
      </c>
      <c r="E87" s="246" t="s">
        <v>657</v>
      </c>
      <c r="F87" s="230" t="s">
        <v>658</v>
      </c>
      <c r="G87" s="233" t="s">
        <v>644</v>
      </c>
      <c r="H87" s="233" t="s">
        <v>659</v>
      </c>
    </row>
    <row r="88" spans="1:8">
      <c r="A88" s="230" t="s">
        <v>28</v>
      </c>
      <c r="B88" s="230" t="s">
        <v>3699</v>
      </c>
      <c r="C88" s="230" t="s">
        <v>914</v>
      </c>
      <c r="D88" s="230" t="s">
        <v>915</v>
      </c>
      <c r="E88" s="246" t="s">
        <v>649</v>
      </c>
      <c r="F88" s="230" t="s">
        <v>650</v>
      </c>
      <c r="G88" s="233" t="s">
        <v>651</v>
      </c>
      <c r="H88" s="233" t="s">
        <v>652</v>
      </c>
    </row>
    <row r="89" spans="1:8">
      <c r="A89" s="230" t="s">
        <v>28</v>
      </c>
      <c r="B89" s="230" t="s">
        <v>3699</v>
      </c>
      <c r="C89" s="230" t="s">
        <v>917</v>
      </c>
      <c r="D89" s="230" t="s">
        <v>918</v>
      </c>
      <c r="E89" s="246" t="s">
        <v>649</v>
      </c>
      <c r="F89" s="230" t="s">
        <v>650</v>
      </c>
      <c r="G89" s="233" t="s">
        <v>651</v>
      </c>
      <c r="H89" s="233" t="s">
        <v>652</v>
      </c>
    </row>
    <row r="90" spans="1:8">
      <c r="A90" s="230" t="s">
        <v>28</v>
      </c>
      <c r="B90" s="230" t="s">
        <v>3699</v>
      </c>
      <c r="C90" s="230" t="s">
        <v>920</v>
      </c>
      <c r="D90" s="230" t="s">
        <v>921</v>
      </c>
      <c r="E90" s="246" t="s">
        <v>649</v>
      </c>
      <c r="F90" s="230" t="s">
        <v>650</v>
      </c>
      <c r="G90" s="233" t="s">
        <v>651</v>
      </c>
      <c r="H90" s="233" t="s">
        <v>652</v>
      </c>
    </row>
    <row r="91" spans="1:8">
      <c r="A91" s="230" t="s">
        <v>28</v>
      </c>
      <c r="B91" s="230" t="s">
        <v>3699</v>
      </c>
      <c r="C91" s="230" t="s">
        <v>923</v>
      </c>
      <c r="D91" s="230" t="s">
        <v>924</v>
      </c>
      <c r="E91" s="246" t="s">
        <v>657</v>
      </c>
      <c r="F91" s="230" t="s">
        <v>658</v>
      </c>
      <c r="G91" s="233" t="s">
        <v>644</v>
      </c>
      <c r="H91" s="233" t="s">
        <v>659</v>
      </c>
    </row>
    <row r="92" spans="1:8">
      <c r="A92" s="230" t="s">
        <v>28</v>
      </c>
      <c r="B92" s="230" t="s">
        <v>3699</v>
      </c>
      <c r="C92" s="230" t="s">
        <v>926</v>
      </c>
      <c r="D92" s="230" t="s">
        <v>927</v>
      </c>
      <c r="E92" s="246" t="s">
        <v>657</v>
      </c>
      <c r="F92" s="230" t="s">
        <v>658</v>
      </c>
      <c r="G92" s="233" t="s">
        <v>644</v>
      </c>
      <c r="H92" s="233" t="s">
        <v>659</v>
      </c>
    </row>
    <row r="93" spans="1:8">
      <c r="A93" s="230" t="s">
        <v>28</v>
      </c>
      <c r="B93" s="230" t="s">
        <v>3699</v>
      </c>
      <c r="C93" s="230" t="s">
        <v>929</v>
      </c>
      <c r="D93" s="230" t="s">
        <v>930</v>
      </c>
      <c r="E93" s="246" t="s">
        <v>657</v>
      </c>
      <c r="F93" s="230" t="s">
        <v>658</v>
      </c>
      <c r="G93" s="233" t="s">
        <v>644</v>
      </c>
      <c r="H93" s="233" t="s">
        <v>659</v>
      </c>
    </row>
    <row r="94" spans="1:8">
      <c r="A94" s="230" t="s">
        <v>28</v>
      </c>
      <c r="B94" s="230" t="s">
        <v>3699</v>
      </c>
      <c r="C94" s="230" t="s">
        <v>932</v>
      </c>
      <c r="D94" s="230" t="s">
        <v>933</v>
      </c>
      <c r="E94" s="246" t="s">
        <v>657</v>
      </c>
      <c r="F94" s="230" t="s">
        <v>658</v>
      </c>
      <c r="G94" s="233" t="s">
        <v>644</v>
      </c>
      <c r="H94" s="233" t="s">
        <v>659</v>
      </c>
    </row>
    <row r="95" spans="1:8">
      <c r="A95" s="230" t="s">
        <v>28</v>
      </c>
      <c r="B95" s="230" t="s">
        <v>3699</v>
      </c>
      <c r="C95" s="230" t="s">
        <v>935</v>
      </c>
      <c r="D95" s="230" t="s">
        <v>936</v>
      </c>
      <c r="E95" s="246" t="s">
        <v>657</v>
      </c>
      <c r="F95" s="230" t="s">
        <v>658</v>
      </c>
      <c r="G95" s="233" t="s">
        <v>644</v>
      </c>
      <c r="H95" s="233" t="s">
        <v>659</v>
      </c>
    </row>
    <row r="96" spans="1:8">
      <c r="A96" s="230" t="s">
        <v>28</v>
      </c>
      <c r="B96" s="230" t="s">
        <v>3699</v>
      </c>
      <c r="C96" s="230" t="s">
        <v>938</v>
      </c>
      <c r="D96" s="230" t="s">
        <v>939</v>
      </c>
      <c r="E96" s="246" t="s">
        <v>657</v>
      </c>
      <c r="F96" s="230" t="s">
        <v>658</v>
      </c>
      <c r="G96" s="233" t="s">
        <v>644</v>
      </c>
      <c r="H96" s="233" t="s">
        <v>659</v>
      </c>
    </row>
    <row r="97" spans="1:8">
      <c r="A97" s="230" t="s">
        <v>28</v>
      </c>
      <c r="B97" s="230" t="s">
        <v>3699</v>
      </c>
      <c r="C97" s="230" t="s">
        <v>941</v>
      </c>
      <c r="D97" s="230" t="s">
        <v>942</v>
      </c>
      <c r="E97" s="246" t="s">
        <v>657</v>
      </c>
      <c r="F97" s="230" t="s">
        <v>658</v>
      </c>
      <c r="G97" s="233" t="s">
        <v>644</v>
      </c>
      <c r="H97" s="233" t="s">
        <v>659</v>
      </c>
    </row>
    <row r="98" spans="1:8">
      <c r="A98" s="230" t="s">
        <v>28</v>
      </c>
      <c r="B98" s="230" t="s">
        <v>3699</v>
      </c>
      <c r="C98" s="230" t="s">
        <v>944</v>
      </c>
      <c r="D98" s="230" t="s">
        <v>945</v>
      </c>
      <c r="E98" s="246" t="s">
        <v>657</v>
      </c>
      <c r="F98" s="230" t="s">
        <v>658</v>
      </c>
      <c r="G98" s="233" t="s">
        <v>644</v>
      </c>
      <c r="H98" s="233" t="s">
        <v>659</v>
      </c>
    </row>
    <row r="99" spans="1:8">
      <c r="A99" s="230" t="s">
        <v>28</v>
      </c>
      <c r="B99" s="230" t="s">
        <v>3699</v>
      </c>
      <c r="C99" s="230" t="s">
        <v>947</v>
      </c>
      <c r="D99" s="230" t="s">
        <v>948</v>
      </c>
      <c r="E99" s="246" t="s">
        <v>649</v>
      </c>
      <c r="F99" s="230" t="s">
        <v>650</v>
      </c>
      <c r="G99" s="233" t="s">
        <v>651</v>
      </c>
      <c r="H99" s="233" t="s">
        <v>652</v>
      </c>
    </row>
    <row r="100" spans="1:8">
      <c r="A100" s="230" t="s">
        <v>28</v>
      </c>
      <c r="B100" s="230" t="s">
        <v>3699</v>
      </c>
      <c r="C100" s="230" t="s">
        <v>950</v>
      </c>
      <c r="D100" s="230" t="s">
        <v>951</v>
      </c>
      <c r="E100" s="246" t="s">
        <v>780</v>
      </c>
      <c r="F100" s="230" t="s">
        <v>781</v>
      </c>
      <c r="G100" s="233" t="s">
        <v>644</v>
      </c>
      <c r="H100" s="233" t="s">
        <v>782</v>
      </c>
    </row>
    <row r="101" spans="1:8">
      <c r="A101" s="230" t="s">
        <v>28</v>
      </c>
      <c r="B101" s="230" t="s">
        <v>3699</v>
      </c>
      <c r="C101" s="230" t="s">
        <v>953</v>
      </c>
      <c r="D101" s="230" t="s">
        <v>954</v>
      </c>
      <c r="E101" s="246" t="s">
        <v>657</v>
      </c>
      <c r="F101" s="230" t="s">
        <v>658</v>
      </c>
      <c r="G101" s="233" t="s">
        <v>644</v>
      </c>
      <c r="H101" s="233" t="s">
        <v>659</v>
      </c>
    </row>
    <row r="102" spans="1:8">
      <c r="A102" s="230" t="s">
        <v>28</v>
      </c>
      <c r="B102" s="230" t="s">
        <v>3699</v>
      </c>
      <c r="C102" s="230" t="s">
        <v>956</v>
      </c>
      <c r="D102" s="230" t="s">
        <v>957</v>
      </c>
      <c r="E102" s="246" t="s">
        <v>649</v>
      </c>
      <c r="F102" s="230" t="s">
        <v>650</v>
      </c>
      <c r="G102" s="233" t="s">
        <v>651</v>
      </c>
      <c r="H102" s="233" t="s">
        <v>652</v>
      </c>
    </row>
    <row r="103" spans="1:8">
      <c r="A103" s="230" t="s">
        <v>28</v>
      </c>
      <c r="B103" s="230" t="s">
        <v>3699</v>
      </c>
      <c r="C103" s="230" t="s">
        <v>959</v>
      </c>
      <c r="D103" s="230" t="s">
        <v>960</v>
      </c>
      <c r="E103" s="246" t="s">
        <v>649</v>
      </c>
      <c r="F103" s="230" t="s">
        <v>650</v>
      </c>
      <c r="G103" s="233" t="s">
        <v>651</v>
      </c>
      <c r="H103" s="233" t="s">
        <v>652</v>
      </c>
    </row>
    <row r="104" spans="1:8">
      <c r="A104" s="230" t="s">
        <v>28</v>
      </c>
      <c r="B104" s="230" t="s">
        <v>3699</v>
      </c>
      <c r="C104" s="230" t="s">
        <v>962</v>
      </c>
      <c r="D104" s="230" t="s">
        <v>963</v>
      </c>
      <c r="E104" s="246" t="s">
        <v>657</v>
      </c>
      <c r="F104" s="230" t="s">
        <v>658</v>
      </c>
      <c r="G104" s="233" t="s">
        <v>644</v>
      </c>
      <c r="H104" s="233" t="s">
        <v>659</v>
      </c>
    </row>
    <row r="105" spans="1:8">
      <c r="A105" s="230" t="s">
        <v>28</v>
      </c>
      <c r="B105" s="230" t="s">
        <v>3699</v>
      </c>
      <c r="C105" s="230" t="s">
        <v>965</v>
      </c>
      <c r="D105" s="230" t="s">
        <v>966</v>
      </c>
      <c r="E105" s="246" t="s">
        <v>677</v>
      </c>
      <c r="F105" s="230" t="s">
        <v>678</v>
      </c>
      <c r="G105" s="233" t="s">
        <v>644</v>
      </c>
      <c r="H105" s="233" t="s">
        <v>679</v>
      </c>
    </row>
    <row r="106" spans="1:8">
      <c r="A106" s="230" t="s">
        <v>28</v>
      </c>
      <c r="B106" s="230" t="s">
        <v>3699</v>
      </c>
      <c r="C106" s="230" t="s">
        <v>968</v>
      </c>
      <c r="D106" s="230" t="s">
        <v>969</v>
      </c>
      <c r="E106" s="246" t="s">
        <v>649</v>
      </c>
      <c r="F106" s="230" t="s">
        <v>650</v>
      </c>
      <c r="G106" s="233" t="s">
        <v>651</v>
      </c>
      <c r="H106" s="233" t="s">
        <v>652</v>
      </c>
    </row>
    <row r="107" spans="1:8">
      <c r="A107" s="230" t="s">
        <v>28</v>
      </c>
      <c r="B107" s="230" t="s">
        <v>3699</v>
      </c>
      <c r="C107" s="230" t="s">
        <v>3700</v>
      </c>
      <c r="D107" s="230" t="s">
        <v>3701</v>
      </c>
      <c r="E107" s="246" t="s">
        <v>657</v>
      </c>
      <c r="F107" s="230" t="s">
        <v>658</v>
      </c>
      <c r="G107" s="233" t="s">
        <v>644</v>
      </c>
      <c r="H107" s="233" t="s">
        <v>659</v>
      </c>
    </row>
    <row r="108" spans="1:8">
      <c r="A108" s="230" t="s">
        <v>28</v>
      </c>
      <c r="B108" s="230" t="s">
        <v>3699</v>
      </c>
      <c r="C108" s="230" t="s">
        <v>3702</v>
      </c>
      <c r="D108" s="230" t="s">
        <v>3703</v>
      </c>
      <c r="E108" s="246" t="s">
        <v>657</v>
      </c>
      <c r="F108" s="230" t="s">
        <v>658</v>
      </c>
      <c r="G108" s="233" t="s">
        <v>644</v>
      </c>
      <c r="H108" s="233" t="s">
        <v>659</v>
      </c>
    </row>
    <row r="109" spans="1:8">
      <c r="A109" s="230" t="s">
        <v>28</v>
      </c>
      <c r="B109" s="230" t="s">
        <v>3699</v>
      </c>
      <c r="C109" s="230" t="s">
        <v>971</v>
      </c>
      <c r="D109" s="230" t="s">
        <v>972</v>
      </c>
      <c r="E109" s="246" t="s">
        <v>657</v>
      </c>
      <c r="F109" s="230" t="s">
        <v>658</v>
      </c>
      <c r="G109" s="233" t="s">
        <v>644</v>
      </c>
      <c r="H109" s="233" t="s">
        <v>659</v>
      </c>
    </row>
    <row r="110" spans="1:8">
      <c r="A110" s="230" t="s">
        <v>28</v>
      </c>
      <c r="B110" s="230" t="s">
        <v>3699</v>
      </c>
      <c r="C110" s="230" t="s">
        <v>974</v>
      </c>
      <c r="D110" s="230" t="s">
        <v>975</v>
      </c>
      <c r="E110" s="246" t="s">
        <v>657</v>
      </c>
      <c r="F110" s="230" t="s">
        <v>658</v>
      </c>
      <c r="G110" s="233" t="s">
        <v>644</v>
      </c>
      <c r="H110" s="233" t="s">
        <v>659</v>
      </c>
    </row>
    <row r="111" spans="1:8">
      <c r="A111" s="230" t="s">
        <v>28</v>
      </c>
      <c r="B111" s="230" t="s">
        <v>3699</v>
      </c>
      <c r="C111" s="230" t="s">
        <v>977</v>
      </c>
      <c r="D111" s="230" t="s">
        <v>978</v>
      </c>
      <c r="E111" s="246" t="s">
        <v>657</v>
      </c>
      <c r="F111" s="230" t="s">
        <v>658</v>
      </c>
      <c r="G111" s="233" t="s">
        <v>644</v>
      </c>
      <c r="H111" s="233" t="s">
        <v>659</v>
      </c>
    </row>
    <row r="112" spans="1:8">
      <c r="A112" s="230" t="s">
        <v>28</v>
      </c>
      <c r="B112" s="230" t="s">
        <v>3699</v>
      </c>
      <c r="C112" s="230" t="s">
        <v>980</v>
      </c>
      <c r="D112" s="230" t="s">
        <v>981</v>
      </c>
      <c r="E112" s="246" t="s">
        <v>657</v>
      </c>
      <c r="F112" s="230" t="s">
        <v>658</v>
      </c>
      <c r="G112" s="233" t="s">
        <v>644</v>
      </c>
      <c r="H112" s="233" t="s">
        <v>659</v>
      </c>
    </row>
    <row r="113" spans="1:8">
      <c r="A113" s="230" t="s">
        <v>28</v>
      </c>
      <c r="B113" s="230" t="s">
        <v>3699</v>
      </c>
      <c r="C113" s="230" t="s">
        <v>983</v>
      </c>
      <c r="D113" s="230" t="s">
        <v>984</v>
      </c>
      <c r="E113" s="246" t="s">
        <v>649</v>
      </c>
      <c r="F113" s="230" t="s">
        <v>650</v>
      </c>
      <c r="G113" s="233" t="s">
        <v>651</v>
      </c>
      <c r="H113" s="233" t="s">
        <v>652</v>
      </c>
    </row>
    <row r="114" spans="1:8">
      <c r="A114" s="230" t="s">
        <v>28</v>
      </c>
      <c r="B114" s="230" t="s">
        <v>3699</v>
      </c>
      <c r="C114" s="230" t="s">
        <v>986</v>
      </c>
      <c r="D114" s="230" t="s">
        <v>987</v>
      </c>
      <c r="E114" s="246" t="s">
        <v>642</v>
      </c>
      <c r="F114" s="230" t="s">
        <v>643</v>
      </c>
      <c r="G114" s="233" t="s">
        <v>644</v>
      </c>
      <c r="H114" s="233" t="s">
        <v>645</v>
      </c>
    </row>
    <row r="115" spans="1:8">
      <c r="A115" s="230" t="s">
        <v>28</v>
      </c>
      <c r="B115" s="230" t="s">
        <v>3699</v>
      </c>
      <c r="C115" s="230" t="s">
        <v>989</v>
      </c>
      <c r="D115" s="230" t="s">
        <v>990</v>
      </c>
      <c r="E115" s="246" t="s">
        <v>657</v>
      </c>
      <c r="F115" s="230" t="s">
        <v>658</v>
      </c>
      <c r="G115" s="233" t="s">
        <v>644</v>
      </c>
      <c r="H115" s="233" t="s">
        <v>659</v>
      </c>
    </row>
    <row r="116" spans="1:8">
      <c r="A116" s="230" t="s">
        <v>28</v>
      </c>
      <c r="B116" s="230" t="s">
        <v>3699</v>
      </c>
      <c r="C116" s="230" t="s">
        <v>992</v>
      </c>
      <c r="D116" s="230" t="s">
        <v>993</v>
      </c>
      <c r="E116" s="246" t="s">
        <v>657</v>
      </c>
      <c r="F116" s="230" t="s">
        <v>658</v>
      </c>
      <c r="G116" s="233" t="s">
        <v>644</v>
      </c>
      <c r="H116" s="233" t="s">
        <v>659</v>
      </c>
    </row>
    <row r="117" spans="1:8">
      <c r="A117" s="230" t="s">
        <v>28</v>
      </c>
      <c r="B117" s="230" t="s">
        <v>3699</v>
      </c>
      <c r="C117" s="230" t="s">
        <v>995</v>
      </c>
      <c r="D117" s="230" t="s">
        <v>996</v>
      </c>
      <c r="E117" s="246" t="s">
        <v>649</v>
      </c>
      <c r="F117" s="230" t="s">
        <v>650</v>
      </c>
      <c r="G117" s="233" t="s">
        <v>651</v>
      </c>
      <c r="H117" s="233" t="s">
        <v>652</v>
      </c>
    </row>
    <row r="118" spans="1:8">
      <c r="A118" s="230" t="s">
        <v>28</v>
      </c>
      <c r="B118" s="230" t="s">
        <v>3699</v>
      </c>
      <c r="C118" s="230" t="s">
        <v>998</v>
      </c>
      <c r="D118" s="230" t="s">
        <v>999</v>
      </c>
      <c r="E118" s="246" t="s">
        <v>642</v>
      </c>
      <c r="F118" s="230" t="s">
        <v>643</v>
      </c>
      <c r="G118" s="233" t="s">
        <v>644</v>
      </c>
      <c r="H118" s="233" t="s">
        <v>645</v>
      </c>
    </row>
    <row r="119" spans="1:8">
      <c r="A119" s="230" t="s">
        <v>28</v>
      </c>
      <c r="B119" s="230" t="s">
        <v>3699</v>
      </c>
      <c r="C119" s="230" t="s">
        <v>1001</v>
      </c>
      <c r="D119" s="230" t="s">
        <v>1002</v>
      </c>
      <c r="E119" s="246" t="s">
        <v>780</v>
      </c>
      <c r="F119" s="230" t="s">
        <v>781</v>
      </c>
      <c r="G119" s="233" t="s">
        <v>644</v>
      </c>
      <c r="H119" s="233" t="s">
        <v>782</v>
      </c>
    </row>
    <row r="120" spans="1:8">
      <c r="A120" s="230" t="s">
        <v>28</v>
      </c>
      <c r="B120" s="230" t="s">
        <v>3699</v>
      </c>
      <c r="C120" s="230" t="s">
        <v>1004</v>
      </c>
      <c r="D120" s="230" t="s">
        <v>1005</v>
      </c>
      <c r="E120" s="246" t="s">
        <v>664</v>
      </c>
      <c r="F120" s="230" t="s">
        <v>665</v>
      </c>
      <c r="G120" s="233" t="s">
        <v>644</v>
      </c>
      <c r="H120" s="233" t="s">
        <v>666</v>
      </c>
    </row>
    <row r="121" spans="1:8">
      <c r="A121" s="230" t="s">
        <v>28</v>
      </c>
      <c r="B121" s="230" t="s">
        <v>3699</v>
      </c>
      <c r="C121" s="230" t="s">
        <v>1007</v>
      </c>
      <c r="D121" s="230" t="s">
        <v>1008</v>
      </c>
      <c r="E121" s="246" t="s">
        <v>716</v>
      </c>
      <c r="F121" s="230" t="s">
        <v>717</v>
      </c>
      <c r="G121" s="233" t="s">
        <v>644</v>
      </c>
      <c r="H121" s="233" t="s">
        <v>645</v>
      </c>
    </row>
    <row r="122" spans="1:8">
      <c r="A122" s="230" t="s">
        <v>28</v>
      </c>
      <c r="B122" s="230" t="s">
        <v>3699</v>
      </c>
      <c r="C122" s="230" t="s">
        <v>1010</v>
      </c>
      <c r="D122" s="230" t="s">
        <v>1011</v>
      </c>
      <c r="E122" s="246" t="s">
        <v>649</v>
      </c>
      <c r="F122" s="230" t="s">
        <v>650</v>
      </c>
      <c r="G122" s="233" t="s">
        <v>651</v>
      </c>
      <c r="H122" s="233" t="s">
        <v>652</v>
      </c>
    </row>
    <row r="123" spans="1:8">
      <c r="A123" s="230" t="s">
        <v>28</v>
      </c>
      <c r="B123" s="230" t="s">
        <v>3699</v>
      </c>
      <c r="C123" s="230" t="s">
        <v>1013</v>
      </c>
      <c r="D123" s="230" t="s">
        <v>1014</v>
      </c>
      <c r="E123" s="246" t="s">
        <v>657</v>
      </c>
      <c r="F123" s="230" t="s">
        <v>658</v>
      </c>
      <c r="G123" s="233" t="s">
        <v>644</v>
      </c>
      <c r="H123" s="233" t="s">
        <v>659</v>
      </c>
    </row>
    <row r="124" spans="1:8">
      <c r="A124" s="230" t="s">
        <v>28</v>
      </c>
      <c r="B124" s="230" t="s">
        <v>3699</v>
      </c>
      <c r="C124" s="230" t="s">
        <v>1016</v>
      </c>
      <c r="D124" s="230" t="s">
        <v>1017</v>
      </c>
      <c r="E124" s="246" t="s">
        <v>642</v>
      </c>
      <c r="F124" s="230" t="s">
        <v>643</v>
      </c>
      <c r="G124" s="233" t="s">
        <v>644</v>
      </c>
      <c r="H124" s="233" t="s">
        <v>645</v>
      </c>
    </row>
    <row r="125" spans="1:8">
      <c r="A125" s="230" t="s">
        <v>28</v>
      </c>
      <c r="B125" s="230" t="s">
        <v>3699</v>
      </c>
      <c r="C125" s="230" t="s">
        <v>1019</v>
      </c>
      <c r="D125" s="230" t="s">
        <v>1020</v>
      </c>
      <c r="E125" s="246" t="s">
        <v>780</v>
      </c>
      <c r="F125" s="230" t="s">
        <v>781</v>
      </c>
      <c r="G125" s="233" t="s">
        <v>644</v>
      </c>
      <c r="H125" s="233" t="s">
        <v>782</v>
      </c>
    </row>
    <row r="126" spans="1:8">
      <c r="A126" s="230" t="s">
        <v>28</v>
      </c>
      <c r="B126" s="230" t="s">
        <v>3699</v>
      </c>
      <c r="C126" s="230" t="s">
        <v>1022</v>
      </c>
      <c r="D126" s="230" t="s">
        <v>1023</v>
      </c>
      <c r="E126" s="246" t="s">
        <v>649</v>
      </c>
      <c r="F126" s="230" t="s">
        <v>650</v>
      </c>
      <c r="G126" s="233" t="s">
        <v>651</v>
      </c>
      <c r="H126" s="233" t="s">
        <v>652</v>
      </c>
    </row>
    <row r="127" spans="1:8">
      <c r="A127" s="230" t="s">
        <v>28</v>
      </c>
      <c r="B127" s="230" t="s">
        <v>3699</v>
      </c>
      <c r="C127" s="230" t="s">
        <v>1024</v>
      </c>
      <c r="D127" s="230" t="s">
        <v>1025</v>
      </c>
      <c r="E127" s="246" t="s">
        <v>657</v>
      </c>
      <c r="F127" s="230" t="s">
        <v>658</v>
      </c>
      <c r="G127" s="233" t="s">
        <v>644</v>
      </c>
      <c r="H127" s="233" t="s">
        <v>659</v>
      </c>
    </row>
    <row r="128" spans="1:8">
      <c r="A128" s="230" t="s">
        <v>28</v>
      </c>
      <c r="B128" s="230" t="s">
        <v>3699</v>
      </c>
      <c r="C128" s="230" t="s">
        <v>3704</v>
      </c>
      <c r="D128" s="230" t="s">
        <v>3705</v>
      </c>
      <c r="E128" s="246" t="s">
        <v>677</v>
      </c>
      <c r="F128" s="230" t="s">
        <v>678</v>
      </c>
      <c r="G128" s="233" t="s">
        <v>644</v>
      </c>
      <c r="H128" s="233" t="s">
        <v>679</v>
      </c>
    </row>
    <row r="129" spans="1:8">
      <c r="A129" s="230" t="s">
        <v>28</v>
      </c>
      <c r="B129" s="230" t="s">
        <v>3699</v>
      </c>
      <c r="C129" s="230" t="s">
        <v>1026</v>
      </c>
      <c r="D129" s="230" t="s">
        <v>1027</v>
      </c>
      <c r="E129" s="246" t="s">
        <v>649</v>
      </c>
      <c r="F129" s="230" t="s">
        <v>650</v>
      </c>
      <c r="G129" s="233" t="s">
        <v>651</v>
      </c>
      <c r="H129" s="233" t="s">
        <v>652</v>
      </c>
    </row>
    <row r="130" spans="1:8">
      <c r="A130" s="230" t="s">
        <v>28</v>
      </c>
      <c r="B130" s="230" t="s">
        <v>3699</v>
      </c>
      <c r="C130" s="230" t="s">
        <v>1028</v>
      </c>
      <c r="D130" s="230" t="s">
        <v>1029</v>
      </c>
      <c r="E130" s="246" t="s">
        <v>780</v>
      </c>
      <c r="F130" s="230" t="s">
        <v>781</v>
      </c>
      <c r="G130" s="233" t="s">
        <v>644</v>
      </c>
      <c r="H130" s="233" t="s">
        <v>782</v>
      </c>
    </row>
    <row r="131" spans="1:8">
      <c r="A131" s="230" t="s">
        <v>28</v>
      </c>
      <c r="B131" s="230" t="s">
        <v>3699</v>
      </c>
      <c r="C131" s="230" t="s">
        <v>1030</v>
      </c>
      <c r="D131" s="230" t="s">
        <v>1031</v>
      </c>
      <c r="E131" s="246" t="s">
        <v>780</v>
      </c>
      <c r="F131" s="230" t="s">
        <v>781</v>
      </c>
      <c r="G131" s="233" t="s">
        <v>644</v>
      </c>
      <c r="H131" s="233" t="s">
        <v>782</v>
      </c>
    </row>
    <row r="132" spans="1:8">
      <c r="A132" s="230" t="s">
        <v>28</v>
      </c>
      <c r="B132" s="230" t="s">
        <v>3699</v>
      </c>
      <c r="C132" s="230" t="s">
        <v>1030</v>
      </c>
      <c r="D132" s="230" t="s">
        <v>1031</v>
      </c>
      <c r="E132" s="246" t="s">
        <v>657</v>
      </c>
      <c r="F132" s="230" t="s">
        <v>658</v>
      </c>
      <c r="G132" s="233" t="s">
        <v>644</v>
      </c>
      <c r="H132" s="233" t="s">
        <v>659</v>
      </c>
    </row>
    <row r="133" spans="1:8">
      <c r="A133" s="230" t="s">
        <v>28</v>
      </c>
      <c r="B133" s="230" t="s">
        <v>3699</v>
      </c>
      <c r="C133" s="230" t="s">
        <v>1033</v>
      </c>
      <c r="D133" s="230" t="s">
        <v>1034</v>
      </c>
      <c r="E133" s="246" t="s">
        <v>657</v>
      </c>
      <c r="F133" s="230" t="s">
        <v>658</v>
      </c>
      <c r="G133" s="233" t="s">
        <v>644</v>
      </c>
      <c r="H133" s="233" t="s">
        <v>659</v>
      </c>
    </row>
    <row r="134" spans="1:8">
      <c r="A134" s="230" t="s">
        <v>28</v>
      </c>
      <c r="B134" s="230" t="s">
        <v>3699</v>
      </c>
      <c r="C134" s="230" t="s">
        <v>1035</v>
      </c>
      <c r="D134" s="230" t="s">
        <v>1036</v>
      </c>
      <c r="E134" s="246" t="s">
        <v>716</v>
      </c>
      <c r="F134" s="230" t="s">
        <v>717</v>
      </c>
      <c r="G134" s="233" t="s">
        <v>644</v>
      </c>
      <c r="H134" s="233" t="s">
        <v>645</v>
      </c>
    </row>
    <row r="135" spans="1:8">
      <c r="A135" s="230" t="s">
        <v>28</v>
      </c>
      <c r="B135" s="230" t="s">
        <v>3699</v>
      </c>
      <c r="C135" s="230" t="s">
        <v>1037</v>
      </c>
      <c r="D135" s="230" t="s">
        <v>1038</v>
      </c>
      <c r="E135" s="246" t="s">
        <v>649</v>
      </c>
      <c r="F135" s="230" t="s">
        <v>650</v>
      </c>
      <c r="G135" s="233" t="s">
        <v>651</v>
      </c>
      <c r="H135" s="233" t="s">
        <v>652</v>
      </c>
    </row>
    <row r="136" spans="1:8">
      <c r="A136" s="230" t="s">
        <v>28</v>
      </c>
      <c r="B136" s="230" t="s">
        <v>3699</v>
      </c>
      <c r="C136" s="230" t="s">
        <v>1039</v>
      </c>
      <c r="D136" s="230" t="s">
        <v>1040</v>
      </c>
      <c r="E136" s="246" t="s">
        <v>642</v>
      </c>
      <c r="F136" s="230" t="s">
        <v>643</v>
      </c>
      <c r="G136" s="233" t="s">
        <v>644</v>
      </c>
      <c r="H136" s="233" t="s">
        <v>645</v>
      </c>
    </row>
    <row r="137" spans="1:8">
      <c r="A137" s="230" t="s">
        <v>28</v>
      </c>
      <c r="B137" s="230" t="s">
        <v>3699</v>
      </c>
      <c r="C137" s="230" t="s">
        <v>1041</v>
      </c>
      <c r="D137" s="230" t="s">
        <v>1042</v>
      </c>
      <c r="E137" s="246" t="s">
        <v>1043</v>
      </c>
      <c r="F137" s="230" t="s">
        <v>1044</v>
      </c>
      <c r="G137" s="233" t="s">
        <v>644</v>
      </c>
      <c r="H137" s="233" t="s">
        <v>1045</v>
      </c>
    </row>
    <row r="138" spans="1:8">
      <c r="A138" s="230" t="s">
        <v>28</v>
      </c>
      <c r="B138" s="230" t="s">
        <v>3699</v>
      </c>
      <c r="C138" s="230" t="s">
        <v>1046</v>
      </c>
      <c r="D138" s="230" t="s">
        <v>1047</v>
      </c>
      <c r="E138" s="246" t="s">
        <v>642</v>
      </c>
      <c r="F138" s="230" t="s">
        <v>643</v>
      </c>
      <c r="G138" s="233" t="s">
        <v>644</v>
      </c>
      <c r="H138" s="233" t="s">
        <v>645</v>
      </c>
    </row>
    <row r="139" spans="1:8">
      <c r="A139" s="230" t="s">
        <v>28</v>
      </c>
      <c r="B139" s="230" t="s">
        <v>3699</v>
      </c>
      <c r="C139" s="230" t="s">
        <v>1048</v>
      </c>
      <c r="D139" s="230" t="s">
        <v>1049</v>
      </c>
      <c r="E139" s="246" t="s">
        <v>780</v>
      </c>
      <c r="F139" s="230" t="s">
        <v>781</v>
      </c>
      <c r="G139" s="233" t="s">
        <v>644</v>
      </c>
      <c r="H139" s="233" t="s">
        <v>782</v>
      </c>
    </row>
    <row r="140" spans="1:8">
      <c r="A140" s="230" t="s">
        <v>28</v>
      </c>
      <c r="B140" s="230" t="s">
        <v>3699</v>
      </c>
      <c r="C140" s="230" t="s">
        <v>1050</v>
      </c>
      <c r="D140" s="230" t="s">
        <v>1051</v>
      </c>
      <c r="E140" s="246" t="s">
        <v>657</v>
      </c>
      <c r="F140" s="230" t="s">
        <v>658</v>
      </c>
      <c r="G140" s="233" t="s">
        <v>644</v>
      </c>
      <c r="H140" s="233" t="s">
        <v>659</v>
      </c>
    </row>
    <row r="141" spans="1:8">
      <c r="A141" s="230" t="s">
        <v>28</v>
      </c>
      <c r="B141" s="230" t="s">
        <v>3699</v>
      </c>
      <c r="C141" s="230" t="s">
        <v>1052</v>
      </c>
      <c r="D141" s="230" t="s">
        <v>1053</v>
      </c>
      <c r="E141" s="246" t="s">
        <v>642</v>
      </c>
      <c r="F141" s="230" t="s">
        <v>643</v>
      </c>
      <c r="G141" s="233" t="s">
        <v>644</v>
      </c>
      <c r="H141" s="233" t="s">
        <v>645</v>
      </c>
    </row>
    <row r="142" spans="1:8">
      <c r="A142" s="230" t="s">
        <v>28</v>
      </c>
      <c r="B142" s="230" t="s">
        <v>3699</v>
      </c>
      <c r="C142" s="230" t="s">
        <v>1054</v>
      </c>
      <c r="D142" s="230" t="s">
        <v>1055</v>
      </c>
      <c r="E142" s="246" t="s">
        <v>649</v>
      </c>
      <c r="F142" s="230" t="s">
        <v>650</v>
      </c>
      <c r="G142" s="233" t="s">
        <v>651</v>
      </c>
      <c r="H142" s="233" t="s">
        <v>652</v>
      </c>
    </row>
    <row r="143" spans="1:8">
      <c r="A143" s="230" t="s">
        <v>28</v>
      </c>
      <c r="B143" s="230" t="s">
        <v>3699</v>
      </c>
      <c r="C143" s="230" t="s">
        <v>1056</v>
      </c>
      <c r="D143" s="230" t="s">
        <v>1057</v>
      </c>
      <c r="E143" s="246" t="s">
        <v>657</v>
      </c>
      <c r="F143" s="230" t="s">
        <v>658</v>
      </c>
      <c r="G143" s="233" t="s">
        <v>644</v>
      </c>
      <c r="H143" s="233" t="s">
        <v>659</v>
      </c>
    </row>
    <row r="144" spans="1:8">
      <c r="A144" s="230" t="s">
        <v>28</v>
      </c>
      <c r="B144" s="230" t="s">
        <v>3699</v>
      </c>
      <c r="C144" s="230" t="s">
        <v>1058</v>
      </c>
      <c r="D144" s="230" t="s">
        <v>1059</v>
      </c>
      <c r="E144" s="246" t="s">
        <v>1043</v>
      </c>
      <c r="F144" s="230" t="s">
        <v>1044</v>
      </c>
      <c r="G144" s="233" t="s">
        <v>644</v>
      </c>
      <c r="H144" s="233" t="s">
        <v>1045</v>
      </c>
    </row>
    <row r="145" spans="1:8">
      <c r="A145" s="230" t="s">
        <v>28</v>
      </c>
      <c r="B145" s="230" t="s">
        <v>3699</v>
      </c>
      <c r="C145" s="230" t="s">
        <v>1060</v>
      </c>
      <c r="D145" s="230" t="s">
        <v>1061</v>
      </c>
      <c r="E145" s="246" t="s">
        <v>657</v>
      </c>
      <c r="F145" s="230" t="s">
        <v>658</v>
      </c>
      <c r="G145" s="233" t="s">
        <v>644</v>
      </c>
      <c r="H145" s="233" t="s">
        <v>659</v>
      </c>
    </row>
    <row r="146" spans="1:8">
      <c r="A146" s="230" t="s">
        <v>35</v>
      </c>
      <c r="B146" s="230" t="s">
        <v>34</v>
      </c>
      <c r="C146" s="230" t="s">
        <v>634</v>
      </c>
      <c r="D146" s="230" t="s">
        <v>1062</v>
      </c>
      <c r="E146" s="246" t="s">
        <v>677</v>
      </c>
      <c r="F146" s="230" t="s">
        <v>678</v>
      </c>
      <c r="G146" s="233" t="s">
        <v>644</v>
      </c>
      <c r="H146" s="233" t="s">
        <v>679</v>
      </c>
    </row>
    <row r="147" spans="1:8">
      <c r="A147" s="230" t="s">
        <v>35</v>
      </c>
      <c r="B147" s="230" t="s">
        <v>34</v>
      </c>
      <c r="C147" s="230" t="s">
        <v>1063</v>
      </c>
      <c r="D147" s="230" t="s">
        <v>1064</v>
      </c>
      <c r="E147" s="246" t="s">
        <v>677</v>
      </c>
      <c r="F147" s="230" t="s">
        <v>678</v>
      </c>
      <c r="G147" s="233" t="s">
        <v>644</v>
      </c>
      <c r="H147" s="233" t="s">
        <v>679</v>
      </c>
    </row>
    <row r="148" spans="1:8">
      <c r="A148" s="230" t="s">
        <v>35</v>
      </c>
      <c r="B148" s="230" t="s">
        <v>34</v>
      </c>
      <c r="C148" s="230" t="s">
        <v>1065</v>
      </c>
      <c r="D148" s="230" t="s">
        <v>1066</v>
      </c>
      <c r="E148" s="246" t="s">
        <v>677</v>
      </c>
      <c r="F148" s="230" t="s">
        <v>678</v>
      </c>
      <c r="G148" s="233" t="s">
        <v>644</v>
      </c>
      <c r="H148" s="233" t="s">
        <v>679</v>
      </c>
    </row>
    <row r="149" spans="1:8">
      <c r="A149" s="230" t="s">
        <v>35</v>
      </c>
      <c r="B149" s="230" t="s">
        <v>34</v>
      </c>
      <c r="C149" s="230" t="s">
        <v>1067</v>
      </c>
      <c r="D149" s="230" t="s">
        <v>1068</v>
      </c>
      <c r="E149" s="246" t="s">
        <v>677</v>
      </c>
      <c r="F149" s="230" t="s">
        <v>678</v>
      </c>
      <c r="G149" s="233" t="s">
        <v>644</v>
      </c>
      <c r="H149" s="233" t="s">
        <v>679</v>
      </c>
    </row>
    <row r="150" spans="1:8">
      <c r="A150" s="230" t="s">
        <v>35</v>
      </c>
      <c r="B150" s="230" t="s">
        <v>34</v>
      </c>
      <c r="C150" s="230" t="s">
        <v>699</v>
      </c>
      <c r="D150" s="230" t="s">
        <v>1069</v>
      </c>
      <c r="E150" s="246" t="s">
        <v>677</v>
      </c>
      <c r="F150" s="230" t="s">
        <v>678</v>
      </c>
      <c r="G150" s="233" t="s">
        <v>644</v>
      </c>
      <c r="H150" s="233" t="s">
        <v>679</v>
      </c>
    </row>
    <row r="151" spans="1:8">
      <c r="A151" s="230" t="s">
        <v>35</v>
      </c>
      <c r="B151" s="230" t="s">
        <v>34</v>
      </c>
      <c r="C151" s="230" t="s">
        <v>1070</v>
      </c>
      <c r="D151" s="230" t="s">
        <v>1071</v>
      </c>
      <c r="E151" s="246" t="s">
        <v>677</v>
      </c>
      <c r="F151" s="230" t="s">
        <v>678</v>
      </c>
      <c r="G151" s="233" t="s">
        <v>644</v>
      </c>
      <c r="H151" s="233" t="s">
        <v>679</v>
      </c>
    </row>
    <row r="152" spans="1:8">
      <c r="A152" s="230" t="s">
        <v>35</v>
      </c>
      <c r="B152" s="230" t="s">
        <v>34</v>
      </c>
      <c r="C152" s="230" t="s">
        <v>1072</v>
      </c>
      <c r="D152" s="230" t="s">
        <v>1073</v>
      </c>
      <c r="E152" s="246" t="s">
        <v>677</v>
      </c>
      <c r="F152" s="230" t="s">
        <v>678</v>
      </c>
      <c r="G152" s="233" t="s">
        <v>644</v>
      </c>
      <c r="H152" s="233" t="s">
        <v>679</v>
      </c>
    </row>
    <row r="153" spans="1:8">
      <c r="A153" s="230" t="s">
        <v>35</v>
      </c>
      <c r="B153" s="230" t="s">
        <v>34</v>
      </c>
      <c r="C153" s="230" t="s">
        <v>1074</v>
      </c>
      <c r="D153" s="230" t="s">
        <v>1075</v>
      </c>
      <c r="E153" s="246" t="s">
        <v>677</v>
      </c>
      <c r="F153" s="230" t="s">
        <v>678</v>
      </c>
      <c r="G153" s="233" t="s">
        <v>644</v>
      </c>
      <c r="H153" s="233" t="s">
        <v>679</v>
      </c>
    </row>
    <row r="154" spans="1:8">
      <c r="A154" s="230" t="s">
        <v>35</v>
      </c>
      <c r="B154" s="230" t="s">
        <v>34</v>
      </c>
      <c r="C154" s="230" t="s">
        <v>1076</v>
      </c>
      <c r="D154" s="230" t="s">
        <v>1077</v>
      </c>
      <c r="E154" s="246" t="s">
        <v>677</v>
      </c>
      <c r="F154" s="230" t="s">
        <v>678</v>
      </c>
      <c r="G154" s="233" t="s">
        <v>644</v>
      </c>
      <c r="H154" s="233" t="s">
        <v>679</v>
      </c>
    </row>
    <row r="155" spans="1:8">
      <c r="A155" s="230" t="s">
        <v>35</v>
      </c>
      <c r="B155" s="230" t="s">
        <v>34</v>
      </c>
      <c r="C155" s="230" t="s">
        <v>1078</v>
      </c>
      <c r="D155" s="230" t="s">
        <v>1079</v>
      </c>
      <c r="E155" s="246" t="s">
        <v>677</v>
      </c>
      <c r="F155" s="230" t="s">
        <v>678</v>
      </c>
      <c r="G155" s="233" t="s">
        <v>644</v>
      </c>
      <c r="H155" s="233" t="s">
        <v>679</v>
      </c>
    </row>
    <row r="156" spans="1:8">
      <c r="A156" s="230" t="s">
        <v>35</v>
      </c>
      <c r="B156" s="230" t="s">
        <v>34</v>
      </c>
      <c r="C156" s="230" t="s">
        <v>1032</v>
      </c>
      <c r="D156" s="230" t="s">
        <v>771</v>
      </c>
      <c r="E156" s="246" t="s">
        <v>677</v>
      </c>
      <c r="F156" s="230" t="s">
        <v>678</v>
      </c>
      <c r="G156" s="233" t="s">
        <v>644</v>
      </c>
      <c r="H156" s="233" t="s">
        <v>679</v>
      </c>
    </row>
    <row r="157" spans="1:8">
      <c r="A157" s="230" t="s">
        <v>35</v>
      </c>
      <c r="B157" s="230" t="s">
        <v>34</v>
      </c>
      <c r="C157" s="230" t="s">
        <v>1080</v>
      </c>
      <c r="D157" s="230" t="s">
        <v>1081</v>
      </c>
      <c r="E157" s="246" t="s">
        <v>677</v>
      </c>
      <c r="F157" s="230" t="s">
        <v>678</v>
      </c>
      <c r="G157" s="233" t="s">
        <v>644</v>
      </c>
      <c r="H157" s="233" t="s">
        <v>679</v>
      </c>
    </row>
    <row r="158" spans="1:8">
      <c r="A158" s="230" t="s">
        <v>35</v>
      </c>
      <c r="B158" s="230" t="s">
        <v>34</v>
      </c>
      <c r="C158" s="230" t="s">
        <v>1082</v>
      </c>
      <c r="D158" s="230" t="s">
        <v>1083</v>
      </c>
      <c r="E158" s="246" t="s">
        <v>677</v>
      </c>
      <c r="F158" s="230" t="s">
        <v>678</v>
      </c>
      <c r="G158" s="233" t="s">
        <v>644</v>
      </c>
      <c r="H158" s="233" t="s">
        <v>679</v>
      </c>
    </row>
    <row r="159" spans="1:8">
      <c r="A159" s="230" t="s">
        <v>35</v>
      </c>
      <c r="B159" s="230" t="s">
        <v>34</v>
      </c>
      <c r="C159" s="230" t="s">
        <v>653</v>
      </c>
      <c r="D159" s="230" t="s">
        <v>1084</v>
      </c>
      <c r="E159" s="246" t="s">
        <v>677</v>
      </c>
      <c r="F159" s="230" t="s">
        <v>678</v>
      </c>
      <c r="G159" s="233" t="s">
        <v>644</v>
      </c>
      <c r="H159" s="233" t="s">
        <v>679</v>
      </c>
    </row>
    <row r="160" spans="1:8">
      <c r="A160" s="230" t="s">
        <v>35</v>
      </c>
      <c r="B160" s="230" t="s">
        <v>34</v>
      </c>
      <c r="C160" s="230" t="s">
        <v>1085</v>
      </c>
      <c r="D160" s="230" t="s">
        <v>1086</v>
      </c>
      <c r="E160" s="246" t="s">
        <v>677</v>
      </c>
      <c r="F160" s="230" t="s">
        <v>678</v>
      </c>
      <c r="G160" s="233" t="s">
        <v>644</v>
      </c>
      <c r="H160" s="233" t="s">
        <v>679</v>
      </c>
    </row>
    <row r="161" spans="1:8">
      <c r="A161" s="230" t="s">
        <v>35</v>
      </c>
      <c r="B161" s="230" t="s">
        <v>34</v>
      </c>
      <c r="C161" s="230" t="s">
        <v>1087</v>
      </c>
      <c r="D161" s="230" t="s">
        <v>1088</v>
      </c>
      <c r="E161" s="246" t="s">
        <v>677</v>
      </c>
      <c r="F161" s="230" t="s">
        <v>678</v>
      </c>
      <c r="G161" s="233" t="s">
        <v>644</v>
      </c>
      <c r="H161" s="233" t="s">
        <v>679</v>
      </c>
    </row>
    <row r="162" spans="1:8">
      <c r="A162" s="230" t="s">
        <v>35</v>
      </c>
      <c r="B162" s="230" t="s">
        <v>34</v>
      </c>
      <c r="C162" s="230" t="s">
        <v>1089</v>
      </c>
      <c r="D162" s="230" t="s">
        <v>1090</v>
      </c>
      <c r="E162" s="246" t="s">
        <v>677</v>
      </c>
      <c r="F162" s="230" t="s">
        <v>678</v>
      </c>
      <c r="G162" s="233" t="s">
        <v>644</v>
      </c>
      <c r="H162" s="233" t="s">
        <v>679</v>
      </c>
    </row>
    <row r="163" spans="1:8">
      <c r="A163" s="230" t="s">
        <v>35</v>
      </c>
      <c r="B163" s="230" t="s">
        <v>34</v>
      </c>
      <c r="C163" s="230" t="s">
        <v>1091</v>
      </c>
      <c r="D163" s="230" t="s">
        <v>1092</v>
      </c>
      <c r="E163" s="246" t="s">
        <v>677</v>
      </c>
      <c r="F163" s="230" t="s">
        <v>678</v>
      </c>
      <c r="G163" s="233" t="s">
        <v>644</v>
      </c>
      <c r="H163" s="233" t="s">
        <v>679</v>
      </c>
    </row>
    <row r="164" spans="1:8">
      <c r="A164" s="230" t="s">
        <v>35</v>
      </c>
      <c r="B164" s="230" t="s">
        <v>34</v>
      </c>
      <c r="C164" s="230" t="s">
        <v>1093</v>
      </c>
      <c r="D164" s="230" t="s">
        <v>1094</v>
      </c>
      <c r="E164" s="246" t="s">
        <v>677</v>
      </c>
      <c r="F164" s="230" t="s">
        <v>678</v>
      </c>
      <c r="G164" s="233" t="s">
        <v>644</v>
      </c>
      <c r="H164" s="233" t="s">
        <v>679</v>
      </c>
    </row>
    <row r="165" spans="1:8">
      <c r="A165" s="230" t="s">
        <v>35</v>
      </c>
      <c r="B165" s="230" t="s">
        <v>34</v>
      </c>
      <c r="C165" s="230" t="s">
        <v>1095</v>
      </c>
      <c r="D165" s="230" t="s">
        <v>1096</v>
      </c>
      <c r="E165" s="246" t="s">
        <v>677</v>
      </c>
      <c r="F165" s="230" t="s">
        <v>678</v>
      </c>
      <c r="G165" s="233" t="s">
        <v>644</v>
      </c>
      <c r="H165" s="233" t="s">
        <v>679</v>
      </c>
    </row>
    <row r="166" spans="1:8">
      <c r="A166" s="230" t="s">
        <v>35</v>
      </c>
      <c r="B166" s="230" t="s">
        <v>34</v>
      </c>
      <c r="C166" s="230" t="s">
        <v>1097</v>
      </c>
      <c r="D166" s="230" t="s">
        <v>1098</v>
      </c>
      <c r="E166" s="246" t="s">
        <v>677</v>
      </c>
      <c r="F166" s="230" t="s">
        <v>678</v>
      </c>
      <c r="G166" s="233" t="s">
        <v>644</v>
      </c>
      <c r="H166" s="233" t="s">
        <v>679</v>
      </c>
    </row>
    <row r="167" spans="1:8">
      <c r="A167" s="230" t="s">
        <v>35</v>
      </c>
      <c r="B167" s="230" t="s">
        <v>34</v>
      </c>
      <c r="C167" s="230" t="s">
        <v>1099</v>
      </c>
      <c r="D167" s="230" t="s">
        <v>1100</v>
      </c>
      <c r="E167" s="246" t="s">
        <v>677</v>
      </c>
      <c r="F167" s="230" t="s">
        <v>678</v>
      </c>
      <c r="G167" s="233" t="s">
        <v>644</v>
      </c>
      <c r="H167" s="233" t="s">
        <v>679</v>
      </c>
    </row>
    <row r="168" spans="1:8">
      <c r="A168" s="230" t="s">
        <v>35</v>
      </c>
      <c r="B168" s="230" t="s">
        <v>34</v>
      </c>
      <c r="C168" s="230" t="s">
        <v>1101</v>
      </c>
      <c r="D168" s="230" t="s">
        <v>1102</v>
      </c>
      <c r="E168" s="246" t="s">
        <v>677</v>
      </c>
      <c r="F168" s="230" t="s">
        <v>678</v>
      </c>
      <c r="G168" s="233" t="s">
        <v>644</v>
      </c>
      <c r="H168" s="233" t="s">
        <v>679</v>
      </c>
    </row>
    <row r="169" spans="1:8">
      <c r="A169" s="230" t="s">
        <v>35</v>
      </c>
      <c r="B169" s="230" t="s">
        <v>34</v>
      </c>
      <c r="C169" s="230" t="s">
        <v>1103</v>
      </c>
      <c r="D169" s="230" t="s">
        <v>1104</v>
      </c>
      <c r="E169" s="246" t="s">
        <v>677</v>
      </c>
      <c r="F169" s="230" t="s">
        <v>678</v>
      </c>
      <c r="G169" s="233" t="s">
        <v>644</v>
      </c>
      <c r="H169" s="233" t="s">
        <v>679</v>
      </c>
    </row>
    <row r="170" spans="1:8">
      <c r="A170" s="230" t="s">
        <v>35</v>
      </c>
      <c r="B170" s="230" t="s">
        <v>34</v>
      </c>
      <c r="C170" s="230" t="s">
        <v>1103</v>
      </c>
      <c r="D170" s="230" t="s">
        <v>1104</v>
      </c>
      <c r="E170" s="246" t="s">
        <v>803</v>
      </c>
      <c r="F170" s="230" t="s">
        <v>804</v>
      </c>
      <c r="G170" s="233" t="s">
        <v>644</v>
      </c>
      <c r="H170" s="233" t="s">
        <v>805</v>
      </c>
    </row>
    <row r="171" spans="1:8">
      <c r="A171" s="230" t="s">
        <v>35</v>
      </c>
      <c r="B171" s="230" t="s">
        <v>34</v>
      </c>
      <c r="C171" s="230" t="s">
        <v>1105</v>
      </c>
      <c r="D171" s="230" t="s">
        <v>1106</v>
      </c>
      <c r="E171" s="246" t="s">
        <v>677</v>
      </c>
      <c r="F171" s="230" t="s">
        <v>678</v>
      </c>
      <c r="G171" s="233" t="s">
        <v>644</v>
      </c>
      <c r="H171" s="233" t="s">
        <v>679</v>
      </c>
    </row>
    <row r="172" spans="1:8">
      <c r="A172" s="230" t="s">
        <v>35</v>
      </c>
      <c r="B172" s="230" t="s">
        <v>34</v>
      </c>
      <c r="C172" s="230" t="s">
        <v>703</v>
      </c>
      <c r="D172" s="230" t="s">
        <v>1107</v>
      </c>
      <c r="E172" s="246" t="s">
        <v>677</v>
      </c>
      <c r="F172" s="230" t="s">
        <v>678</v>
      </c>
      <c r="G172" s="233" t="s">
        <v>644</v>
      </c>
      <c r="H172" s="233" t="s">
        <v>679</v>
      </c>
    </row>
    <row r="173" spans="1:8">
      <c r="A173" s="230" t="s">
        <v>35</v>
      </c>
      <c r="B173" s="230" t="s">
        <v>34</v>
      </c>
      <c r="C173" s="230" t="s">
        <v>1108</v>
      </c>
      <c r="D173" s="230" t="s">
        <v>1109</v>
      </c>
      <c r="E173" s="246" t="s">
        <v>677</v>
      </c>
      <c r="F173" s="230" t="s">
        <v>678</v>
      </c>
      <c r="G173" s="233" t="s">
        <v>644</v>
      </c>
      <c r="H173" s="233" t="s">
        <v>679</v>
      </c>
    </row>
    <row r="174" spans="1:8">
      <c r="A174" s="230" t="s">
        <v>35</v>
      </c>
      <c r="B174" s="230" t="s">
        <v>34</v>
      </c>
      <c r="C174" s="230" t="s">
        <v>1110</v>
      </c>
      <c r="D174" s="230" t="s">
        <v>1111</v>
      </c>
      <c r="E174" s="246" t="s">
        <v>677</v>
      </c>
      <c r="F174" s="230" t="s">
        <v>678</v>
      </c>
      <c r="G174" s="233" t="s">
        <v>644</v>
      </c>
      <c r="H174" s="233" t="s">
        <v>679</v>
      </c>
    </row>
    <row r="175" spans="1:8">
      <c r="A175" s="230" t="s">
        <v>35</v>
      </c>
      <c r="B175" s="230" t="s">
        <v>34</v>
      </c>
      <c r="C175" s="230" t="s">
        <v>1112</v>
      </c>
      <c r="D175" s="230" t="s">
        <v>1113</v>
      </c>
      <c r="E175" s="246" t="s">
        <v>677</v>
      </c>
      <c r="F175" s="230" t="s">
        <v>678</v>
      </c>
      <c r="G175" s="233" t="s">
        <v>644</v>
      </c>
      <c r="H175" s="233" t="s">
        <v>679</v>
      </c>
    </row>
    <row r="176" spans="1:8">
      <c r="A176" s="230" t="s">
        <v>35</v>
      </c>
      <c r="B176" s="230" t="s">
        <v>34</v>
      </c>
      <c r="C176" s="230" t="s">
        <v>1114</v>
      </c>
      <c r="D176" s="230" t="s">
        <v>1115</v>
      </c>
      <c r="E176" s="246" t="s">
        <v>677</v>
      </c>
      <c r="F176" s="230" t="s">
        <v>678</v>
      </c>
      <c r="G176" s="233" t="s">
        <v>644</v>
      </c>
      <c r="H176" s="233" t="s">
        <v>679</v>
      </c>
    </row>
    <row r="177" spans="1:8">
      <c r="A177" s="230" t="s">
        <v>35</v>
      </c>
      <c r="B177" s="230" t="s">
        <v>34</v>
      </c>
      <c r="C177" s="230" t="s">
        <v>1116</v>
      </c>
      <c r="D177" s="230" t="s">
        <v>1117</v>
      </c>
      <c r="E177" s="246" t="s">
        <v>677</v>
      </c>
      <c r="F177" s="230" t="s">
        <v>678</v>
      </c>
      <c r="G177" s="233" t="s">
        <v>644</v>
      </c>
      <c r="H177" s="233" t="s">
        <v>679</v>
      </c>
    </row>
    <row r="178" spans="1:8">
      <c r="A178" s="230" t="s">
        <v>35</v>
      </c>
      <c r="B178" s="230" t="s">
        <v>34</v>
      </c>
      <c r="C178" s="230" t="s">
        <v>1118</v>
      </c>
      <c r="D178" s="230" t="s">
        <v>1119</v>
      </c>
      <c r="E178" s="246" t="s">
        <v>677</v>
      </c>
      <c r="F178" s="230" t="s">
        <v>678</v>
      </c>
      <c r="G178" s="233" t="s">
        <v>644</v>
      </c>
      <c r="H178" s="233" t="s">
        <v>679</v>
      </c>
    </row>
    <row r="179" spans="1:8">
      <c r="A179" s="230" t="s">
        <v>35</v>
      </c>
      <c r="B179" s="230" t="s">
        <v>34</v>
      </c>
      <c r="C179" s="230" t="s">
        <v>1120</v>
      </c>
      <c r="D179" s="230" t="s">
        <v>1121</v>
      </c>
      <c r="E179" s="246" t="s">
        <v>677</v>
      </c>
      <c r="F179" s="230" t="s">
        <v>678</v>
      </c>
      <c r="G179" s="233" t="s">
        <v>644</v>
      </c>
      <c r="H179" s="233" t="s">
        <v>679</v>
      </c>
    </row>
    <row r="180" spans="1:8">
      <c r="A180" s="230" t="s">
        <v>35</v>
      </c>
      <c r="B180" s="230" t="s">
        <v>34</v>
      </c>
      <c r="C180" s="230" t="s">
        <v>1122</v>
      </c>
      <c r="D180" s="230" t="s">
        <v>1123</v>
      </c>
      <c r="E180" s="246" t="s">
        <v>677</v>
      </c>
      <c r="F180" s="230" t="s">
        <v>678</v>
      </c>
      <c r="G180" s="233" t="s">
        <v>644</v>
      </c>
      <c r="H180" s="233" t="s">
        <v>679</v>
      </c>
    </row>
    <row r="181" spans="1:8">
      <c r="A181" s="230" t="s">
        <v>35</v>
      </c>
      <c r="B181" s="230" t="s">
        <v>34</v>
      </c>
      <c r="C181" s="230" t="s">
        <v>1124</v>
      </c>
      <c r="D181" s="230" t="s">
        <v>1125</v>
      </c>
      <c r="E181" s="246" t="s">
        <v>677</v>
      </c>
      <c r="F181" s="230" t="s">
        <v>678</v>
      </c>
      <c r="G181" s="233" t="s">
        <v>644</v>
      </c>
      <c r="H181" s="233" t="s">
        <v>679</v>
      </c>
    </row>
    <row r="182" spans="1:8">
      <c r="A182" s="230" t="s">
        <v>35</v>
      </c>
      <c r="B182" s="230" t="s">
        <v>34</v>
      </c>
      <c r="C182" s="230" t="s">
        <v>1126</v>
      </c>
      <c r="D182" s="230" t="s">
        <v>1127</v>
      </c>
      <c r="E182" s="246" t="s">
        <v>677</v>
      </c>
      <c r="F182" s="230" t="s">
        <v>678</v>
      </c>
      <c r="G182" s="233" t="s">
        <v>644</v>
      </c>
      <c r="H182" s="233" t="s">
        <v>679</v>
      </c>
    </row>
    <row r="183" spans="1:8">
      <c r="A183" s="230" t="s">
        <v>35</v>
      </c>
      <c r="B183" s="230" t="s">
        <v>34</v>
      </c>
      <c r="C183" s="230" t="s">
        <v>1128</v>
      </c>
      <c r="D183" s="230" t="s">
        <v>1129</v>
      </c>
      <c r="E183" s="246" t="s">
        <v>677</v>
      </c>
      <c r="F183" s="230" t="s">
        <v>678</v>
      </c>
      <c r="G183" s="233" t="s">
        <v>644</v>
      </c>
      <c r="H183" s="233" t="s">
        <v>679</v>
      </c>
    </row>
    <row r="184" spans="1:8">
      <c r="A184" s="230" t="s">
        <v>35</v>
      </c>
      <c r="B184" s="230" t="s">
        <v>34</v>
      </c>
      <c r="C184" s="230" t="s">
        <v>1130</v>
      </c>
      <c r="D184" s="230" t="s">
        <v>1131</v>
      </c>
      <c r="E184" s="246" t="s">
        <v>677</v>
      </c>
      <c r="F184" s="230" t="s">
        <v>678</v>
      </c>
      <c r="G184" s="233" t="s">
        <v>644</v>
      </c>
      <c r="H184" s="233" t="s">
        <v>679</v>
      </c>
    </row>
    <row r="185" spans="1:8">
      <c r="A185" s="230" t="s">
        <v>35</v>
      </c>
      <c r="B185" s="230" t="s">
        <v>34</v>
      </c>
      <c r="C185" s="230" t="s">
        <v>1132</v>
      </c>
      <c r="D185" s="230" t="s">
        <v>1133</v>
      </c>
      <c r="E185" s="246" t="s">
        <v>677</v>
      </c>
      <c r="F185" s="230" t="s">
        <v>678</v>
      </c>
      <c r="G185" s="233" t="s">
        <v>644</v>
      </c>
      <c r="H185" s="233" t="s">
        <v>679</v>
      </c>
    </row>
    <row r="186" spans="1:8">
      <c r="A186" s="230" t="s">
        <v>35</v>
      </c>
      <c r="B186" s="230" t="s">
        <v>34</v>
      </c>
      <c r="C186" s="230" t="s">
        <v>1134</v>
      </c>
      <c r="D186" s="230" t="s">
        <v>1135</v>
      </c>
      <c r="E186" s="246" t="s">
        <v>677</v>
      </c>
      <c r="F186" s="230" t="s">
        <v>678</v>
      </c>
      <c r="G186" s="233" t="s">
        <v>644</v>
      </c>
      <c r="H186" s="233" t="s">
        <v>679</v>
      </c>
    </row>
    <row r="187" spans="1:8">
      <c r="A187" s="230" t="s">
        <v>35</v>
      </c>
      <c r="B187" s="230" t="s">
        <v>34</v>
      </c>
      <c r="C187" s="230" t="s">
        <v>1136</v>
      </c>
      <c r="D187" s="230" t="s">
        <v>1137</v>
      </c>
      <c r="E187" s="246" t="s">
        <v>677</v>
      </c>
      <c r="F187" s="230" t="s">
        <v>678</v>
      </c>
      <c r="G187" s="233" t="s">
        <v>644</v>
      </c>
      <c r="H187" s="233" t="s">
        <v>679</v>
      </c>
    </row>
    <row r="188" spans="1:8">
      <c r="A188" s="230" t="s">
        <v>35</v>
      </c>
      <c r="B188" s="230" t="s">
        <v>34</v>
      </c>
      <c r="C188" s="230" t="s">
        <v>1138</v>
      </c>
      <c r="D188" s="230" t="s">
        <v>1139</v>
      </c>
      <c r="E188" s="246" t="s">
        <v>677</v>
      </c>
      <c r="F188" s="230" t="s">
        <v>678</v>
      </c>
      <c r="G188" s="233" t="s">
        <v>644</v>
      </c>
      <c r="H188" s="233" t="s">
        <v>679</v>
      </c>
    </row>
    <row r="189" spans="1:8">
      <c r="A189" s="230" t="s">
        <v>35</v>
      </c>
      <c r="B189" s="230" t="s">
        <v>34</v>
      </c>
      <c r="C189" s="230" t="s">
        <v>1140</v>
      </c>
      <c r="D189" s="230" t="s">
        <v>1011</v>
      </c>
      <c r="E189" s="246" t="s">
        <v>677</v>
      </c>
      <c r="F189" s="230" t="s">
        <v>678</v>
      </c>
      <c r="G189" s="233" t="s">
        <v>644</v>
      </c>
      <c r="H189" s="233" t="s">
        <v>679</v>
      </c>
    </row>
    <row r="190" spans="1:8">
      <c r="A190" s="230" t="s">
        <v>35</v>
      </c>
      <c r="B190" s="230" t="s">
        <v>34</v>
      </c>
      <c r="C190" s="230" t="s">
        <v>1141</v>
      </c>
      <c r="D190" s="230" t="s">
        <v>1142</v>
      </c>
      <c r="E190" s="246" t="s">
        <v>677</v>
      </c>
      <c r="F190" s="230" t="s">
        <v>678</v>
      </c>
      <c r="G190" s="233" t="s">
        <v>644</v>
      </c>
      <c r="H190" s="233" t="s">
        <v>679</v>
      </c>
    </row>
    <row r="191" spans="1:8">
      <c r="A191" s="230" t="s">
        <v>35</v>
      </c>
      <c r="B191" s="230" t="s">
        <v>34</v>
      </c>
      <c r="C191" s="230" t="s">
        <v>1143</v>
      </c>
      <c r="D191" s="230" t="s">
        <v>1051</v>
      </c>
      <c r="E191" s="246" t="s">
        <v>677</v>
      </c>
      <c r="F191" s="230" t="s">
        <v>678</v>
      </c>
      <c r="G191" s="233" t="s">
        <v>644</v>
      </c>
      <c r="H191" s="233" t="s">
        <v>679</v>
      </c>
    </row>
    <row r="192" spans="1:8">
      <c r="A192" s="230" t="s">
        <v>35</v>
      </c>
      <c r="B192" s="230" t="s">
        <v>34</v>
      </c>
      <c r="C192" s="230" t="s">
        <v>1144</v>
      </c>
      <c r="D192" s="230" t="s">
        <v>1034</v>
      </c>
      <c r="E192" s="246" t="s">
        <v>677</v>
      </c>
      <c r="F192" s="230" t="s">
        <v>678</v>
      </c>
      <c r="G192" s="233" t="s">
        <v>644</v>
      </c>
      <c r="H192" s="233" t="s">
        <v>679</v>
      </c>
    </row>
    <row r="193" spans="1:8">
      <c r="A193" s="230" t="s">
        <v>35</v>
      </c>
      <c r="B193" s="230" t="s">
        <v>34</v>
      </c>
      <c r="C193" s="230" t="s">
        <v>1145</v>
      </c>
      <c r="D193" s="230" t="s">
        <v>1146</v>
      </c>
      <c r="E193" s="246" t="s">
        <v>677</v>
      </c>
      <c r="F193" s="230" t="s">
        <v>678</v>
      </c>
      <c r="G193" s="233" t="s">
        <v>644</v>
      </c>
      <c r="H193" s="233" t="s">
        <v>679</v>
      </c>
    </row>
    <row r="194" spans="1:8">
      <c r="A194" s="230" t="s">
        <v>367</v>
      </c>
      <c r="B194" s="230" t="s">
        <v>3706</v>
      </c>
      <c r="C194" s="230" t="s">
        <v>1147</v>
      </c>
      <c r="D194" s="230" t="s">
        <v>1148</v>
      </c>
      <c r="E194" s="246" t="s">
        <v>649</v>
      </c>
      <c r="F194" s="230" t="s">
        <v>650</v>
      </c>
      <c r="G194" s="233" t="s">
        <v>651</v>
      </c>
      <c r="H194" s="233" t="s">
        <v>652</v>
      </c>
    </row>
    <row r="195" spans="1:8">
      <c r="A195" s="230" t="s">
        <v>367</v>
      </c>
      <c r="B195" s="230" t="s">
        <v>3706</v>
      </c>
      <c r="C195" s="230" t="s">
        <v>1149</v>
      </c>
      <c r="D195" s="230" t="s">
        <v>1150</v>
      </c>
      <c r="E195" s="246" t="s">
        <v>649</v>
      </c>
      <c r="F195" s="230" t="s">
        <v>650</v>
      </c>
      <c r="G195" s="233" t="s">
        <v>651</v>
      </c>
      <c r="H195" s="233" t="s">
        <v>652</v>
      </c>
    </row>
    <row r="196" spans="1:8">
      <c r="A196" s="230" t="s">
        <v>367</v>
      </c>
      <c r="B196" s="230" t="s">
        <v>3706</v>
      </c>
      <c r="C196" s="230" t="s">
        <v>1151</v>
      </c>
      <c r="D196" s="230" t="s">
        <v>1152</v>
      </c>
      <c r="E196" s="246" t="s">
        <v>649</v>
      </c>
      <c r="F196" s="230" t="s">
        <v>650</v>
      </c>
      <c r="G196" s="233" t="s">
        <v>651</v>
      </c>
      <c r="H196" s="233" t="s">
        <v>652</v>
      </c>
    </row>
    <row r="197" spans="1:8">
      <c r="A197" s="230" t="s">
        <v>367</v>
      </c>
      <c r="B197" s="230" t="s">
        <v>3706</v>
      </c>
      <c r="C197" s="230" t="s">
        <v>1153</v>
      </c>
      <c r="D197" s="230" t="s">
        <v>1154</v>
      </c>
      <c r="E197" s="246" t="s">
        <v>649</v>
      </c>
      <c r="F197" s="230" t="s">
        <v>650</v>
      </c>
      <c r="G197" s="233" t="s">
        <v>651</v>
      </c>
      <c r="H197" s="233" t="s">
        <v>652</v>
      </c>
    </row>
    <row r="198" spans="1:8">
      <c r="A198" s="230" t="s">
        <v>367</v>
      </c>
      <c r="B198" s="230" t="s">
        <v>3706</v>
      </c>
      <c r="C198" s="230" t="s">
        <v>1155</v>
      </c>
      <c r="D198" s="230" t="s">
        <v>771</v>
      </c>
      <c r="E198" s="246" t="s">
        <v>649</v>
      </c>
      <c r="F198" s="230" t="s">
        <v>650</v>
      </c>
      <c r="G198" s="233" t="s">
        <v>651</v>
      </c>
      <c r="H198" s="233" t="s">
        <v>652</v>
      </c>
    </row>
    <row r="199" spans="1:8">
      <c r="A199" s="230" t="s">
        <v>367</v>
      </c>
      <c r="B199" s="230" t="s">
        <v>3706</v>
      </c>
      <c r="C199" s="230" t="s">
        <v>1156</v>
      </c>
      <c r="D199" s="230" t="s">
        <v>1157</v>
      </c>
      <c r="E199" s="246" t="s">
        <v>649</v>
      </c>
      <c r="F199" s="230" t="s">
        <v>650</v>
      </c>
      <c r="G199" s="233" t="s">
        <v>651</v>
      </c>
      <c r="H199" s="233" t="s">
        <v>652</v>
      </c>
    </row>
    <row r="200" spans="1:8">
      <c r="A200" s="230" t="s">
        <v>367</v>
      </c>
      <c r="B200" s="230" t="s">
        <v>3706</v>
      </c>
      <c r="C200" s="230" t="s">
        <v>1158</v>
      </c>
      <c r="D200" s="230" t="s">
        <v>1159</v>
      </c>
      <c r="E200" s="246" t="s">
        <v>649</v>
      </c>
      <c r="F200" s="230" t="s">
        <v>650</v>
      </c>
      <c r="G200" s="233" t="s">
        <v>651</v>
      </c>
      <c r="H200" s="233" t="s">
        <v>652</v>
      </c>
    </row>
    <row r="201" spans="1:8">
      <c r="A201" s="230" t="s">
        <v>367</v>
      </c>
      <c r="B201" s="230" t="s">
        <v>3706</v>
      </c>
      <c r="C201" s="230" t="s">
        <v>1160</v>
      </c>
      <c r="D201" s="230" t="s">
        <v>1161</v>
      </c>
      <c r="E201" s="246" t="s">
        <v>649</v>
      </c>
      <c r="F201" s="230" t="s">
        <v>650</v>
      </c>
      <c r="G201" s="233" t="s">
        <v>651</v>
      </c>
      <c r="H201" s="233" t="s">
        <v>652</v>
      </c>
    </row>
    <row r="202" spans="1:8">
      <c r="A202" s="230" t="s">
        <v>367</v>
      </c>
      <c r="B202" s="230" t="s">
        <v>3706</v>
      </c>
      <c r="C202" s="230" t="s">
        <v>1162</v>
      </c>
      <c r="D202" s="230" t="s">
        <v>1163</v>
      </c>
      <c r="E202" s="246" t="s">
        <v>649</v>
      </c>
      <c r="F202" s="230" t="s">
        <v>650</v>
      </c>
      <c r="G202" s="233" t="s">
        <v>651</v>
      </c>
      <c r="H202" s="233" t="s">
        <v>652</v>
      </c>
    </row>
    <row r="203" spans="1:8">
      <c r="A203" s="230" t="s">
        <v>367</v>
      </c>
      <c r="B203" s="230" t="s">
        <v>3706</v>
      </c>
      <c r="C203" s="230" t="s">
        <v>1164</v>
      </c>
      <c r="D203" s="230" t="s">
        <v>1051</v>
      </c>
      <c r="E203" s="246" t="s">
        <v>649</v>
      </c>
      <c r="F203" s="230" t="s">
        <v>650</v>
      </c>
      <c r="G203" s="233" t="s">
        <v>651</v>
      </c>
      <c r="H203" s="233" t="s">
        <v>652</v>
      </c>
    </row>
    <row r="204" spans="1:8">
      <c r="A204" s="230" t="s">
        <v>367</v>
      </c>
      <c r="B204" s="230" t="s">
        <v>3706</v>
      </c>
      <c r="C204" s="230" t="s">
        <v>1165</v>
      </c>
      <c r="D204" s="230" t="s">
        <v>1034</v>
      </c>
      <c r="E204" s="246" t="s">
        <v>649</v>
      </c>
      <c r="F204" s="230" t="s">
        <v>650</v>
      </c>
      <c r="G204" s="233" t="s">
        <v>651</v>
      </c>
      <c r="H204" s="233" t="s">
        <v>652</v>
      </c>
    </row>
    <row r="205" spans="1:8">
      <c r="A205" s="230" t="s">
        <v>367</v>
      </c>
      <c r="B205" s="230" t="s">
        <v>3706</v>
      </c>
      <c r="C205" s="230" t="s">
        <v>1166</v>
      </c>
      <c r="D205" s="230" t="s">
        <v>1167</v>
      </c>
      <c r="E205" s="246" t="s">
        <v>649</v>
      </c>
      <c r="F205" s="230" t="s">
        <v>650</v>
      </c>
      <c r="G205" s="233" t="s">
        <v>651</v>
      </c>
      <c r="H205" s="233" t="s">
        <v>652</v>
      </c>
    </row>
    <row r="206" spans="1:8">
      <c r="A206" s="230" t="s">
        <v>444</v>
      </c>
      <c r="B206" s="230" t="s">
        <v>3707</v>
      </c>
      <c r="C206" s="230" t="s">
        <v>1168</v>
      </c>
      <c r="D206" s="230" t="s">
        <v>1169</v>
      </c>
      <c r="E206" s="246" t="s">
        <v>649</v>
      </c>
      <c r="F206" s="230" t="s">
        <v>650</v>
      </c>
      <c r="G206" s="233" t="s">
        <v>651</v>
      </c>
      <c r="H206" s="233" t="s">
        <v>652</v>
      </c>
    </row>
    <row r="207" spans="1:8">
      <c r="A207" s="230" t="s">
        <v>444</v>
      </c>
      <c r="B207" s="230" t="s">
        <v>3707</v>
      </c>
      <c r="C207" s="230" t="s">
        <v>1170</v>
      </c>
      <c r="D207" s="230" t="s">
        <v>1171</v>
      </c>
      <c r="E207" s="246" t="s">
        <v>649</v>
      </c>
      <c r="F207" s="230" t="s">
        <v>650</v>
      </c>
      <c r="G207" s="233" t="s">
        <v>651</v>
      </c>
      <c r="H207" s="233" t="s">
        <v>652</v>
      </c>
    </row>
    <row r="208" spans="1:8">
      <c r="A208" s="230" t="s">
        <v>3708</v>
      </c>
      <c r="B208" s="230" t="s">
        <v>3709</v>
      </c>
      <c r="C208" s="230" t="s">
        <v>1172</v>
      </c>
      <c r="D208" s="230" t="s">
        <v>1173</v>
      </c>
      <c r="E208" s="246" t="s">
        <v>686</v>
      </c>
      <c r="F208" s="230" t="s">
        <v>687</v>
      </c>
      <c r="G208" s="233" t="s">
        <v>688</v>
      </c>
      <c r="H208" s="233" t="s">
        <v>689</v>
      </c>
    </row>
    <row r="209" spans="1:8">
      <c r="A209" s="230" t="s">
        <v>3708</v>
      </c>
      <c r="B209" s="230" t="s">
        <v>3709</v>
      </c>
      <c r="C209" s="230" t="s">
        <v>1174</v>
      </c>
      <c r="D209" s="230" t="s">
        <v>1175</v>
      </c>
      <c r="E209" s="246" t="s">
        <v>686</v>
      </c>
      <c r="F209" s="230" t="s">
        <v>687</v>
      </c>
      <c r="G209" s="233" t="s">
        <v>688</v>
      </c>
      <c r="H209" s="233" t="s">
        <v>689</v>
      </c>
    </row>
    <row r="210" spans="1:8">
      <c r="A210" s="230" t="s">
        <v>3708</v>
      </c>
      <c r="B210" s="230" t="s">
        <v>3709</v>
      </c>
      <c r="C210" s="230" t="s">
        <v>1176</v>
      </c>
      <c r="D210" s="230" t="s">
        <v>1177</v>
      </c>
      <c r="E210" s="246" t="s">
        <v>686</v>
      </c>
      <c r="F210" s="230" t="s">
        <v>687</v>
      </c>
      <c r="G210" s="233" t="s">
        <v>688</v>
      </c>
      <c r="H210" s="233" t="s">
        <v>689</v>
      </c>
    </row>
    <row r="211" spans="1:8">
      <c r="A211" s="230" t="s">
        <v>3708</v>
      </c>
      <c r="B211" s="230" t="s">
        <v>3709</v>
      </c>
      <c r="C211" s="230" t="s">
        <v>1178</v>
      </c>
      <c r="D211" s="230" t="s">
        <v>1179</v>
      </c>
      <c r="E211" s="246" t="s">
        <v>686</v>
      </c>
      <c r="F211" s="230" t="s">
        <v>687</v>
      </c>
      <c r="G211" s="233" t="s">
        <v>688</v>
      </c>
      <c r="H211" s="233" t="s">
        <v>689</v>
      </c>
    </row>
    <row r="212" spans="1:8">
      <c r="A212" s="230" t="s">
        <v>3710</v>
      </c>
      <c r="B212" s="230" t="s">
        <v>3711</v>
      </c>
      <c r="C212" s="230" t="s">
        <v>1180</v>
      </c>
      <c r="D212" s="230" t="s">
        <v>1181</v>
      </c>
      <c r="E212" s="246" t="s">
        <v>1182</v>
      </c>
      <c r="F212" s="230" t="s">
        <v>1183</v>
      </c>
      <c r="G212" s="233" t="s">
        <v>651</v>
      </c>
      <c r="H212" s="233" t="s">
        <v>1184</v>
      </c>
    </row>
    <row r="213" spans="1:8">
      <c r="A213" s="230" t="s">
        <v>3710</v>
      </c>
      <c r="B213" s="230" t="s">
        <v>3711</v>
      </c>
      <c r="C213" s="230" t="s">
        <v>1185</v>
      </c>
      <c r="D213" s="230" t="s">
        <v>1186</v>
      </c>
      <c r="E213" s="246" t="s">
        <v>1182</v>
      </c>
      <c r="F213" s="230" t="s">
        <v>1183</v>
      </c>
      <c r="G213" s="233" t="s">
        <v>651</v>
      </c>
      <c r="H213" s="233" t="s">
        <v>1184</v>
      </c>
    </row>
    <row r="214" spans="1:8">
      <c r="A214" s="230" t="s">
        <v>3710</v>
      </c>
      <c r="B214" s="230" t="s">
        <v>3711</v>
      </c>
      <c r="C214" s="230" t="s">
        <v>1187</v>
      </c>
      <c r="D214" s="230" t="s">
        <v>1188</v>
      </c>
      <c r="E214" s="246" t="s">
        <v>1189</v>
      </c>
      <c r="F214" s="230" t="s">
        <v>1190</v>
      </c>
      <c r="G214" s="233" t="s">
        <v>1191</v>
      </c>
      <c r="H214" s="233" t="s">
        <v>1192</v>
      </c>
    </row>
    <row r="215" spans="1:8">
      <c r="A215" s="230" t="s">
        <v>3710</v>
      </c>
      <c r="B215" s="230" t="s">
        <v>3711</v>
      </c>
      <c r="C215" s="230" t="s">
        <v>1193</v>
      </c>
      <c r="D215" s="230" t="s">
        <v>1194</v>
      </c>
      <c r="E215" s="246" t="s">
        <v>1182</v>
      </c>
      <c r="F215" s="230" t="s">
        <v>1183</v>
      </c>
      <c r="G215" s="233" t="s">
        <v>651</v>
      </c>
      <c r="H215" s="233" t="s">
        <v>1184</v>
      </c>
    </row>
    <row r="216" spans="1:8">
      <c r="A216" s="230" t="s">
        <v>3710</v>
      </c>
      <c r="B216" s="230" t="s">
        <v>3711</v>
      </c>
      <c r="C216" s="230" t="s">
        <v>1195</v>
      </c>
      <c r="D216" s="230" t="s">
        <v>1196</v>
      </c>
      <c r="E216" s="246" t="s">
        <v>1182</v>
      </c>
      <c r="F216" s="230" t="s">
        <v>1183</v>
      </c>
      <c r="G216" s="233" t="s">
        <v>651</v>
      </c>
      <c r="H216" s="233" t="s">
        <v>1184</v>
      </c>
    </row>
    <row r="217" spans="1:8">
      <c r="A217" s="230" t="s">
        <v>3710</v>
      </c>
      <c r="B217" s="230" t="s">
        <v>3711</v>
      </c>
      <c r="C217" s="230" t="s">
        <v>1197</v>
      </c>
      <c r="D217" s="230" t="s">
        <v>1198</v>
      </c>
      <c r="E217" s="246" t="s">
        <v>1182</v>
      </c>
      <c r="F217" s="230" t="s">
        <v>1183</v>
      </c>
      <c r="G217" s="233" t="s">
        <v>651</v>
      </c>
      <c r="H217" s="233" t="s">
        <v>1184</v>
      </c>
    </row>
    <row r="218" spans="1:8">
      <c r="A218" s="230" t="s">
        <v>3710</v>
      </c>
      <c r="B218" s="230" t="s">
        <v>3711</v>
      </c>
      <c r="C218" s="230" t="s">
        <v>1199</v>
      </c>
      <c r="D218" s="230" t="s">
        <v>1200</v>
      </c>
      <c r="E218" s="246" t="s">
        <v>1182</v>
      </c>
      <c r="F218" s="230" t="s">
        <v>1183</v>
      </c>
      <c r="G218" s="233" t="s">
        <v>651</v>
      </c>
      <c r="H218" s="233" t="s">
        <v>1184</v>
      </c>
    </row>
    <row r="219" spans="1:8">
      <c r="A219" s="230" t="s">
        <v>3710</v>
      </c>
      <c r="B219" s="230" t="s">
        <v>3711</v>
      </c>
      <c r="C219" s="230" t="s">
        <v>1199</v>
      </c>
      <c r="D219" s="230" t="s">
        <v>1200</v>
      </c>
      <c r="E219" s="246" t="s">
        <v>657</v>
      </c>
      <c r="F219" s="230" t="s">
        <v>658</v>
      </c>
      <c r="G219" s="233" t="s">
        <v>644</v>
      </c>
      <c r="H219" s="233" t="s">
        <v>659</v>
      </c>
    </row>
    <row r="220" spans="1:8">
      <c r="A220" s="230" t="s">
        <v>3710</v>
      </c>
      <c r="B220" s="230" t="s">
        <v>3711</v>
      </c>
      <c r="C220" s="230" t="s">
        <v>1201</v>
      </c>
      <c r="D220" s="230" t="s">
        <v>1202</v>
      </c>
      <c r="E220" s="246" t="s">
        <v>1182</v>
      </c>
      <c r="F220" s="230" t="s">
        <v>1183</v>
      </c>
      <c r="G220" s="233" t="s">
        <v>651</v>
      </c>
      <c r="H220" s="233" t="s">
        <v>1184</v>
      </c>
    </row>
    <row r="221" spans="1:8">
      <c r="A221" s="230" t="s">
        <v>3710</v>
      </c>
      <c r="B221" s="230" t="s">
        <v>3711</v>
      </c>
      <c r="C221" s="230" t="s">
        <v>1203</v>
      </c>
      <c r="D221" s="230" t="s">
        <v>1204</v>
      </c>
      <c r="E221" s="246" t="s">
        <v>1182</v>
      </c>
      <c r="F221" s="230" t="s">
        <v>1183</v>
      </c>
      <c r="G221" s="233" t="s">
        <v>651</v>
      </c>
      <c r="H221" s="233" t="s">
        <v>1184</v>
      </c>
    </row>
    <row r="222" spans="1:8">
      <c r="A222" s="230" t="s">
        <v>3710</v>
      </c>
      <c r="B222" s="230" t="s">
        <v>3711</v>
      </c>
      <c r="C222" s="230" t="s">
        <v>1205</v>
      </c>
      <c r="D222" s="230" t="s">
        <v>1206</v>
      </c>
      <c r="E222" s="246" t="s">
        <v>1182</v>
      </c>
      <c r="F222" s="230" t="s">
        <v>1183</v>
      </c>
      <c r="G222" s="233" t="s">
        <v>651</v>
      </c>
      <c r="H222" s="233" t="s">
        <v>1184</v>
      </c>
    </row>
    <row r="223" spans="1:8">
      <c r="A223" s="230" t="s">
        <v>3710</v>
      </c>
      <c r="B223" s="230" t="s">
        <v>3711</v>
      </c>
      <c r="C223" s="230" t="s">
        <v>1207</v>
      </c>
      <c r="D223" s="230" t="s">
        <v>1208</v>
      </c>
      <c r="E223" s="246" t="s">
        <v>1182</v>
      </c>
      <c r="F223" s="230" t="s">
        <v>1183</v>
      </c>
      <c r="G223" s="233" t="s">
        <v>651</v>
      </c>
      <c r="H223" s="233" t="s">
        <v>1184</v>
      </c>
    </row>
    <row r="224" spans="1:8">
      <c r="A224" s="230" t="s">
        <v>3710</v>
      </c>
      <c r="B224" s="230" t="s">
        <v>3711</v>
      </c>
      <c r="C224" s="230" t="s">
        <v>1209</v>
      </c>
      <c r="D224" s="230" t="s">
        <v>1210</v>
      </c>
      <c r="E224" s="246" t="s">
        <v>657</v>
      </c>
      <c r="F224" s="230" t="s">
        <v>658</v>
      </c>
      <c r="G224" s="233" t="s">
        <v>644</v>
      </c>
      <c r="H224" s="233" t="s">
        <v>659</v>
      </c>
    </row>
    <row r="225" spans="1:8">
      <c r="A225" s="230" t="s">
        <v>3710</v>
      </c>
      <c r="B225" s="230" t="s">
        <v>3711</v>
      </c>
      <c r="C225" s="230" t="s">
        <v>1211</v>
      </c>
      <c r="D225" s="230" t="s">
        <v>1059</v>
      </c>
      <c r="E225" s="246" t="s">
        <v>657</v>
      </c>
      <c r="F225" s="230" t="s">
        <v>658</v>
      </c>
      <c r="G225" s="233" t="s">
        <v>644</v>
      </c>
      <c r="H225" s="233" t="s">
        <v>659</v>
      </c>
    </row>
    <row r="226" spans="1:8">
      <c r="A226" s="230" t="s">
        <v>3710</v>
      </c>
      <c r="B226" s="230" t="s">
        <v>3711</v>
      </c>
      <c r="C226" s="230" t="s">
        <v>1212</v>
      </c>
      <c r="D226" s="230" t="s">
        <v>1213</v>
      </c>
      <c r="E226" s="246" t="s">
        <v>1182</v>
      </c>
      <c r="F226" s="230" t="s">
        <v>1183</v>
      </c>
      <c r="G226" s="233" t="s">
        <v>651</v>
      </c>
      <c r="H226" s="233" t="s">
        <v>1184</v>
      </c>
    </row>
    <row r="227" spans="1:8">
      <c r="A227" s="230" t="s">
        <v>3712</v>
      </c>
      <c r="B227" s="230" t="s">
        <v>3713</v>
      </c>
      <c r="C227" s="230" t="s">
        <v>1214</v>
      </c>
      <c r="D227" s="230" t="s">
        <v>1215</v>
      </c>
      <c r="E227" s="246" t="s">
        <v>649</v>
      </c>
      <c r="F227" s="230" t="s">
        <v>650</v>
      </c>
      <c r="G227" s="233" t="s">
        <v>651</v>
      </c>
      <c r="H227" s="233" t="s">
        <v>652</v>
      </c>
    </row>
    <row r="228" spans="1:8">
      <c r="A228" s="230" t="s">
        <v>3712</v>
      </c>
      <c r="B228" s="230" t="s">
        <v>3713</v>
      </c>
      <c r="C228" s="230" t="s">
        <v>1216</v>
      </c>
      <c r="D228" s="230" t="s">
        <v>1217</v>
      </c>
      <c r="E228" s="246" t="s">
        <v>649</v>
      </c>
      <c r="F228" s="230" t="s">
        <v>650</v>
      </c>
      <c r="G228" s="233" t="s">
        <v>651</v>
      </c>
      <c r="H228" s="233" t="s">
        <v>652</v>
      </c>
    </row>
    <row r="229" spans="1:8">
      <c r="A229" s="230" t="s">
        <v>3714</v>
      </c>
      <c r="B229" s="230" t="s">
        <v>3715</v>
      </c>
      <c r="C229" s="230" t="s">
        <v>1218</v>
      </c>
      <c r="D229" s="230" t="s">
        <v>1219</v>
      </c>
      <c r="E229" s="246" t="s">
        <v>1182</v>
      </c>
      <c r="F229" s="230" t="s">
        <v>1183</v>
      </c>
      <c r="G229" s="233" t="s">
        <v>651</v>
      </c>
      <c r="H229" s="233" t="s">
        <v>1184</v>
      </c>
    </row>
    <row r="230" spans="1:8">
      <c r="A230" s="230" t="s">
        <v>3714</v>
      </c>
      <c r="B230" s="230" t="s">
        <v>3715</v>
      </c>
      <c r="C230" s="230" t="s">
        <v>1220</v>
      </c>
      <c r="D230" s="230" t="s">
        <v>1221</v>
      </c>
      <c r="E230" s="246" t="s">
        <v>1182</v>
      </c>
      <c r="F230" s="230" t="s">
        <v>1183</v>
      </c>
      <c r="G230" s="233" t="s">
        <v>651</v>
      </c>
      <c r="H230" s="233" t="s">
        <v>1184</v>
      </c>
    </row>
    <row r="231" spans="1:8">
      <c r="A231" s="230" t="s">
        <v>3714</v>
      </c>
      <c r="B231" s="230" t="s">
        <v>3715</v>
      </c>
      <c r="C231" s="230" t="s">
        <v>1222</v>
      </c>
      <c r="D231" s="230" t="s">
        <v>1223</v>
      </c>
      <c r="E231" s="246" t="s">
        <v>1182</v>
      </c>
      <c r="F231" s="230" t="s">
        <v>1183</v>
      </c>
      <c r="G231" s="233" t="s">
        <v>651</v>
      </c>
      <c r="H231" s="233" t="s">
        <v>1184</v>
      </c>
    </row>
    <row r="232" spans="1:8">
      <c r="A232" s="230" t="s">
        <v>3714</v>
      </c>
      <c r="B232" s="230" t="s">
        <v>3715</v>
      </c>
      <c r="C232" s="230" t="s">
        <v>1224</v>
      </c>
      <c r="D232" s="230" t="s">
        <v>1225</v>
      </c>
      <c r="E232" s="246" t="s">
        <v>1182</v>
      </c>
      <c r="F232" s="230" t="s">
        <v>1183</v>
      </c>
      <c r="G232" s="233" t="s">
        <v>651</v>
      </c>
      <c r="H232" s="233" t="s">
        <v>1184</v>
      </c>
    </row>
    <row r="233" spans="1:8">
      <c r="A233" s="230" t="s">
        <v>3714</v>
      </c>
      <c r="B233" s="230" t="s">
        <v>3715</v>
      </c>
      <c r="C233" s="230" t="s">
        <v>1226</v>
      </c>
      <c r="D233" s="230" t="s">
        <v>1227</v>
      </c>
      <c r="E233" s="246" t="s">
        <v>1182</v>
      </c>
      <c r="F233" s="230" t="s">
        <v>1183</v>
      </c>
      <c r="G233" s="233" t="s">
        <v>651</v>
      </c>
      <c r="H233" s="233" t="s">
        <v>1184</v>
      </c>
    </row>
    <row r="234" spans="1:8">
      <c r="A234" s="230" t="s">
        <v>3714</v>
      </c>
      <c r="B234" s="230" t="s">
        <v>3715</v>
      </c>
      <c r="C234" s="230" t="s">
        <v>1228</v>
      </c>
      <c r="D234" s="230" t="s">
        <v>1229</v>
      </c>
      <c r="E234" s="246" t="s">
        <v>1182</v>
      </c>
      <c r="F234" s="230" t="s">
        <v>1183</v>
      </c>
      <c r="G234" s="233" t="s">
        <v>651</v>
      </c>
      <c r="H234" s="233" t="s">
        <v>1184</v>
      </c>
    </row>
    <row r="235" spans="1:8">
      <c r="A235" s="230" t="s">
        <v>3716</v>
      </c>
      <c r="B235" s="230" t="s">
        <v>3717</v>
      </c>
      <c r="C235" s="230" t="s">
        <v>1230</v>
      </c>
      <c r="D235" s="230" t="s">
        <v>1231</v>
      </c>
      <c r="E235" s="246" t="s">
        <v>657</v>
      </c>
      <c r="F235" s="230" t="s">
        <v>658</v>
      </c>
      <c r="G235" s="233" t="s">
        <v>644</v>
      </c>
      <c r="H235" s="233" t="s">
        <v>659</v>
      </c>
    </row>
    <row r="236" spans="1:8">
      <c r="A236" s="230" t="s">
        <v>3716</v>
      </c>
      <c r="B236" s="230" t="s">
        <v>3717</v>
      </c>
      <c r="C236" s="230" t="s">
        <v>1232</v>
      </c>
      <c r="D236" s="230" t="s">
        <v>1233</v>
      </c>
      <c r="E236" s="246" t="s">
        <v>657</v>
      </c>
      <c r="F236" s="230" t="s">
        <v>658</v>
      </c>
      <c r="G236" s="233" t="s">
        <v>644</v>
      </c>
      <c r="H236" s="233" t="s">
        <v>659</v>
      </c>
    </row>
    <row r="237" spans="1:8">
      <c r="A237" s="230" t="s">
        <v>3716</v>
      </c>
      <c r="B237" s="230" t="s">
        <v>3717</v>
      </c>
      <c r="C237" s="230" t="s">
        <v>1234</v>
      </c>
      <c r="D237" s="230" t="s">
        <v>1235</v>
      </c>
      <c r="E237" s="246" t="s">
        <v>657</v>
      </c>
      <c r="F237" s="230" t="s">
        <v>658</v>
      </c>
      <c r="G237" s="233" t="s">
        <v>644</v>
      </c>
      <c r="H237" s="233" t="s">
        <v>659</v>
      </c>
    </row>
    <row r="238" spans="1:8">
      <c r="A238" s="230" t="s">
        <v>3716</v>
      </c>
      <c r="B238" s="230" t="s">
        <v>3717</v>
      </c>
      <c r="C238" s="230" t="s">
        <v>1236</v>
      </c>
      <c r="D238" s="230" t="s">
        <v>1237</v>
      </c>
      <c r="E238" s="246" t="s">
        <v>657</v>
      </c>
      <c r="F238" s="230" t="s">
        <v>658</v>
      </c>
      <c r="G238" s="233" t="s">
        <v>644</v>
      </c>
      <c r="H238" s="233" t="s">
        <v>659</v>
      </c>
    </row>
    <row r="239" spans="1:8">
      <c r="A239" s="230" t="s">
        <v>3716</v>
      </c>
      <c r="B239" s="230" t="s">
        <v>3717</v>
      </c>
      <c r="C239" s="230" t="s">
        <v>1238</v>
      </c>
      <c r="D239" s="230" t="s">
        <v>1239</v>
      </c>
      <c r="E239" s="246" t="s">
        <v>657</v>
      </c>
      <c r="F239" s="230" t="s">
        <v>658</v>
      </c>
      <c r="G239" s="233" t="s">
        <v>644</v>
      </c>
      <c r="H239" s="233" t="s">
        <v>659</v>
      </c>
    </row>
    <row r="240" spans="1:8">
      <c r="A240" s="230" t="s">
        <v>3716</v>
      </c>
      <c r="B240" s="230" t="s">
        <v>3717</v>
      </c>
      <c r="C240" s="230" t="s">
        <v>1240</v>
      </c>
      <c r="D240" s="230" t="s">
        <v>1241</v>
      </c>
      <c r="E240" s="246" t="s">
        <v>657</v>
      </c>
      <c r="F240" s="230" t="s">
        <v>658</v>
      </c>
      <c r="G240" s="233" t="s">
        <v>644</v>
      </c>
      <c r="H240" s="233" t="s">
        <v>659</v>
      </c>
    </row>
    <row r="241" spans="1:8">
      <c r="A241" s="230" t="s">
        <v>3716</v>
      </c>
      <c r="B241" s="230" t="s">
        <v>3717</v>
      </c>
      <c r="C241" s="230" t="s">
        <v>1242</v>
      </c>
      <c r="D241" s="230" t="s">
        <v>1243</v>
      </c>
      <c r="E241" s="246" t="s">
        <v>657</v>
      </c>
      <c r="F241" s="230" t="s">
        <v>658</v>
      </c>
      <c r="G241" s="233" t="s">
        <v>644</v>
      </c>
      <c r="H241" s="233" t="s">
        <v>659</v>
      </c>
    </row>
    <row r="242" spans="1:8">
      <c r="A242" s="230" t="s">
        <v>3716</v>
      </c>
      <c r="B242" s="230" t="s">
        <v>3717</v>
      </c>
      <c r="C242" s="230" t="s">
        <v>1244</v>
      </c>
      <c r="D242" s="230" t="s">
        <v>1142</v>
      </c>
      <c r="E242" s="246" t="s">
        <v>657</v>
      </c>
      <c r="F242" s="230" t="s">
        <v>658</v>
      </c>
      <c r="G242" s="233" t="s">
        <v>644</v>
      </c>
      <c r="H242" s="233" t="s">
        <v>659</v>
      </c>
    </row>
    <row r="243" spans="1:8">
      <c r="A243" s="230" t="s">
        <v>3718</v>
      </c>
      <c r="B243" s="230" t="s">
        <v>3719</v>
      </c>
      <c r="C243" s="230" t="s">
        <v>1245</v>
      </c>
      <c r="D243" s="230" t="s">
        <v>1246</v>
      </c>
      <c r="E243" s="246" t="s">
        <v>677</v>
      </c>
      <c r="F243" s="230" t="s">
        <v>678</v>
      </c>
      <c r="G243" s="233" t="s">
        <v>644</v>
      </c>
      <c r="H243" s="233" t="s">
        <v>679</v>
      </c>
    </row>
    <row r="244" spans="1:8">
      <c r="A244" s="230" t="s">
        <v>3718</v>
      </c>
      <c r="B244" s="230" t="s">
        <v>3719</v>
      </c>
      <c r="C244" s="230" t="s">
        <v>1247</v>
      </c>
      <c r="D244" s="230" t="s">
        <v>1248</v>
      </c>
      <c r="E244" s="246" t="s">
        <v>649</v>
      </c>
      <c r="F244" s="230" t="s">
        <v>650</v>
      </c>
      <c r="G244" s="233" t="s">
        <v>651</v>
      </c>
      <c r="H244" s="233" t="s">
        <v>652</v>
      </c>
    </row>
    <row r="245" spans="1:8">
      <c r="A245" s="230" t="s">
        <v>3718</v>
      </c>
      <c r="B245" s="230" t="s">
        <v>3719</v>
      </c>
      <c r="C245" s="230" t="s">
        <v>1247</v>
      </c>
      <c r="D245" s="230" t="s">
        <v>1248</v>
      </c>
      <c r="E245" s="246" t="s">
        <v>677</v>
      </c>
      <c r="F245" s="230" t="s">
        <v>678</v>
      </c>
      <c r="G245" s="233" t="s">
        <v>644</v>
      </c>
      <c r="H245" s="233" t="s">
        <v>679</v>
      </c>
    </row>
    <row r="246" spans="1:8">
      <c r="A246" s="230" t="s">
        <v>3718</v>
      </c>
      <c r="B246" s="230" t="s">
        <v>3719</v>
      </c>
      <c r="C246" s="230" t="s">
        <v>1249</v>
      </c>
      <c r="D246" s="230" t="s">
        <v>1250</v>
      </c>
      <c r="E246" s="246" t="s">
        <v>677</v>
      </c>
      <c r="F246" s="230" t="s">
        <v>678</v>
      </c>
      <c r="G246" s="233" t="s">
        <v>644</v>
      </c>
      <c r="H246" s="233" t="s">
        <v>679</v>
      </c>
    </row>
    <row r="247" spans="1:8">
      <c r="A247" s="230" t="s">
        <v>3718</v>
      </c>
      <c r="B247" s="230" t="s">
        <v>3719</v>
      </c>
      <c r="C247" s="230" t="s">
        <v>1251</v>
      </c>
      <c r="D247" s="230" t="s">
        <v>1252</v>
      </c>
      <c r="E247" s="246" t="s">
        <v>677</v>
      </c>
      <c r="F247" s="230" t="s">
        <v>678</v>
      </c>
      <c r="G247" s="233" t="s">
        <v>644</v>
      </c>
      <c r="H247" s="233" t="s">
        <v>679</v>
      </c>
    </row>
    <row r="248" spans="1:8">
      <c r="A248" s="230" t="s">
        <v>3718</v>
      </c>
      <c r="B248" s="230" t="s">
        <v>3719</v>
      </c>
      <c r="C248" s="230" t="s">
        <v>1253</v>
      </c>
      <c r="D248" s="230" t="s">
        <v>1254</v>
      </c>
      <c r="E248" s="246" t="s">
        <v>677</v>
      </c>
      <c r="F248" s="230" t="s">
        <v>678</v>
      </c>
      <c r="G248" s="233" t="s">
        <v>644</v>
      </c>
      <c r="H248" s="233" t="s">
        <v>679</v>
      </c>
    </row>
    <row r="249" spans="1:8">
      <c r="A249" s="230" t="s">
        <v>3718</v>
      </c>
      <c r="B249" s="230" t="s">
        <v>3719</v>
      </c>
      <c r="C249" s="230" t="s">
        <v>1255</v>
      </c>
      <c r="D249" s="230" t="s">
        <v>1256</v>
      </c>
      <c r="E249" s="246" t="s">
        <v>677</v>
      </c>
      <c r="F249" s="230" t="s">
        <v>678</v>
      </c>
      <c r="G249" s="233" t="s">
        <v>644</v>
      </c>
      <c r="H249" s="233" t="s">
        <v>679</v>
      </c>
    </row>
    <row r="250" spans="1:8">
      <c r="A250" s="230" t="s">
        <v>3718</v>
      </c>
      <c r="B250" s="230" t="s">
        <v>3719</v>
      </c>
      <c r="C250" s="230" t="s">
        <v>1257</v>
      </c>
      <c r="D250" s="230" t="s">
        <v>1258</v>
      </c>
      <c r="E250" s="246" t="s">
        <v>677</v>
      </c>
      <c r="F250" s="230" t="s">
        <v>678</v>
      </c>
      <c r="G250" s="233" t="s">
        <v>644</v>
      </c>
      <c r="H250" s="233" t="s">
        <v>679</v>
      </c>
    </row>
    <row r="251" spans="1:8">
      <c r="A251" s="230" t="s">
        <v>3718</v>
      </c>
      <c r="B251" s="230" t="s">
        <v>3719</v>
      </c>
      <c r="C251" s="230" t="s">
        <v>1259</v>
      </c>
      <c r="D251" s="230" t="s">
        <v>1260</v>
      </c>
      <c r="E251" s="246" t="s">
        <v>677</v>
      </c>
      <c r="F251" s="230" t="s">
        <v>678</v>
      </c>
      <c r="G251" s="233" t="s">
        <v>644</v>
      </c>
      <c r="H251" s="233" t="s">
        <v>679</v>
      </c>
    </row>
    <row r="252" spans="1:8">
      <c r="A252" s="230" t="s">
        <v>3718</v>
      </c>
      <c r="B252" s="230" t="s">
        <v>3719</v>
      </c>
      <c r="C252" s="230" t="s">
        <v>1261</v>
      </c>
      <c r="D252" s="230" t="s">
        <v>1262</v>
      </c>
      <c r="E252" s="246" t="s">
        <v>677</v>
      </c>
      <c r="F252" s="230" t="s">
        <v>678</v>
      </c>
      <c r="G252" s="233" t="s">
        <v>644</v>
      </c>
      <c r="H252" s="233" t="s">
        <v>679</v>
      </c>
    </row>
    <row r="253" spans="1:8">
      <c r="A253" s="230" t="s">
        <v>3718</v>
      </c>
      <c r="B253" s="230" t="s">
        <v>3719</v>
      </c>
      <c r="C253" s="230" t="s">
        <v>1263</v>
      </c>
      <c r="D253" s="230" t="s">
        <v>1264</v>
      </c>
      <c r="E253" s="246" t="s">
        <v>677</v>
      </c>
      <c r="F253" s="230" t="s">
        <v>678</v>
      </c>
      <c r="G253" s="233" t="s">
        <v>644</v>
      </c>
      <c r="H253" s="233" t="s">
        <v>679</v>
      </c>
    </row>
    <row r="254" spans="1:8">
      <c r="A254" s="230" t="s">
        <v>3718</v>
      </c>
      <c r="B254" s="230" t="s">
        <v>3719</v>
      </c>
      <c r="C254" s="230" t="s">
        <v>1265</v>
      </c>
      <c r="D254" s="230" t="s">
        <v>1266</v>
      </c>
      <c r="E254" s="246" t="s">
        <v>677</v>
      </c>
      <c r="F254" s="230" t="s">
        <v>678</v>
      </c>
      <c r="G254" s="233" t="s">
        <v>644</v>
      </c>
      <c r="H254" s="233" t="s">
        <v>679</v>
      </c>
    </row>
    <row r="255" spans="1:8">
      <c r="A255" s="230" t="s">
        <v>3718</v>
      </c>
      <c r="B255" s="230" t="s">
        <v>3719</v>
      </c>
      <c r="C255" s="230" t="s">
        <v>1267</v>
      </c>
      <c r="D255" s="230" t="s">
        <v>1268</v>
      </c>
      <c r="E255" s="246" t="s">
        <v>677</v>
      </c>
      <c r="F255" s="230" t="s">
        <v>678</v>
      </c>
      <c r="G255" s="233" t="s">
        <v>644</v>
      </c>
      <c r="H255" s="233" t="s">
        <v>679</v>
      </c>
    </row>
    <row r="256" spans="1:8">
      <c r="A256" s="230" t="s">
        <v>3718</v>
      </c>
      <c r="B256" s="230" t="s">
        <v>3719</v>
      </c>
      <c r="C256" s="230" t="s">
        <v>1269</v>
      </c>
      <c r="D256" s="230" t="s">
        <v>1270</v>
      </c>
      <c r="E256" s="246" t="s">
        <v>677</v>
      </c>
      <c r="F256" s="230" t="s">
        <v>678</v>
      </c>
      <c r="G256" s="233" t="s">
        <v>644</v>
      </c>
      <c r="H256" s="233" t="s">
        <v>679</v>
      </c>
    </row>
    <row r="257" spans="1:8">
      <c r="A257" s="230" t="s">
        <v>3718</v>
      </c>
      <c r="B257" s="230" t="s">
        <v>3719</v>
      </c>
      <c r="C257" s="230" t="s">
        <v>1271</v>
      </c>
      <c r="D257" s="230" t="s">
        <v>1272</v>
      </c>
      <c r="E257" s="246" t="s">
        <v>677</v>
      </c>
      <c r="F257" s="230" t="s">
        <v>678</v>
      </c>
      <c r="G257" s="233" t="s">
        <v>644</v>
      </c>
      <c r="H257" s="233" t="s">
        <v>679</v>
      </c>
    </row>
    <row r="258" spans="1:8">
      <c r="A258" s="230" t="s">
        <v>3718</v>
      </c>
      <c r="B258" s="230" t="s">
        <v>3719</v>
      </c>
      <c r="C258" s="230" t="s">
        <v>1273</v>
      </c>
      <c r="D258" s="230" t="s">
        <v>1274</v>
      </c>
      <c r="E258" s="246" t="s">
        <v>677</v>
      </c>
      <c r="F258" s="230" t="s">
        <v>678</v>
      </c>
      <c r="G258" s="233" t="s">
        <v>644</v>
      </c>
      <c r="H258" s="233" t="s">
        <v>679</v>
      </c>
    </row>
    <row r="259" spans="1:8">
      <c r="A259" s="230" t="s">
        <v>3718</v>
      </c>
      <c r="B259" s="230" t="s">
        <v>3719</v>
      </c>
      <c r="C259" s="230" t="s">
        <v>1275</v>
      </c>
      <c r="D259" s="230" t="s">
        <v>1276</v>
      </c>
      <c r="E259" s="246" t="s">
        <v>677</v>
      </c>
      <c r="F259" s="230" t="s">
        <v>678</v>
      </c>
      <c r="G259" s="233" t="s">
        <v>644</v>
      </c>
      <c r="H259" s="233" t="s">
        <v>679</v>
      </c>
    </row>
    <row r="260" spans="1:8">
      <c r="A260" s="230" t="s">
        <v>3718</v>
      </c>
      <c r="B260" s="230" t="s">
        <v>3719</v>
      </c>
      <c r="C260" s="230" t="s">
        <v>1277</v>
      </c>
      <c r="D260" s="230" t="s">
        <v>1278</v>
      </c>
      <c r="E260" s="246" t="s">
        <v>677</v>
      </c>
      <c r="F260" s="230" t="s">
        <v>678</v>
      </c>
      <c r="G260" s="233" t="s">
        <v>644</v>
      </c>
      <c r="H260" s="233" t="s">
        <v>679</v>
      </c>
    </row>
    <row r="261" spans="1:8">
      <c r="A261" s="230" t="s">
        <v>3718</v>
      </c>
      <c r="B261" s="230" t="s">
        <v>3719</v>
      </c>
      <c r="C261" s="230" t="s">
        <v>1279</v>
      </c>
      <c r="D261" s="230" t="s">
        <v>1280</v>
      </c>
      <c r="E261" s="246" t="s">
        <v>677</v>
      </c>
      <c r="F261" s="230" t="s">
        <v>678</v>
      </c>
      <c r="G261" s="233" t="s">
        <v>644</v>
      </c>
      <c r="H261" s="233" t="s">
        <v>679</v>
      </c>
    </row>
    <row r="262" spans="1:8">
      <c r="A262" s="230" t="s">
        <v>3718</v>
      </c>
      <c r="B262" s="230" t="s">
        <v>3719</v>
      </c>
      <c r="C262" s="230" t="s">
        <v>1281</v>
      </c>
      <c r="D262" s="230" t="s">
        <v>1282</v>
      </c>
      <c r="E262" s="246" t="s">
        <v>677</v>
      </c>
      <c r="F262" s="230" t="s">
        <v>678</v>
      </c>
      <c r="G262" s="233" t="s">
        <v>644</v>
      </c>
      <c r="H262" s="233" t="s">
        <v>679</v>
      </c>
    </row>
    <row r="263" spans="1:8">
      <c r="A263" s="230" t="s">
        <v>3718</v>
      </c>
      <c r="B263" s="230" t="s">
        <v>3719</v>
      </c>
      <c r="C263" s="230" t="s">
        <v>1283</v>
      </c>
      <c r="D263" s="230" t="s">
        <v>1284</v>
      </c>
      <c r="E263" s="246" t="s">
        <v>677</v>
      </c>
      <c r="F263" s="230" t="s">
        <v>678</v>
      </c>
      <c r="G263" s="233" t="s">
        <v>644</v>
      </c>
      <c r="H263" s="233" t="s">
        <v>679</v>
      </c>
    </row>
    <row r="264" spans="1:8">
      <c r="A264" s="230" t="s">
        <v>3718</v>
      </c>
      <c r="B264" s="230" t="s">
        <v>3719</v>
      </c>
      <c r="C264" s="230" t="s">
        <v>1285</v>
      </c>
      <c r="D264" s="230" t="s">
        <v>1142</v>
      </c>
      <c r="E264" s="246" t="s">
        <v>677</v>
      </c>
      <c r="F264" s="230" t="s">
        <v>678</v>
      </c>
      <c r="G264" s="233" t="s">
        <v>644</v>
      </c>
      <c r="H264" s="233" t="s">
        <v>679</v>
      </c>
    </row>
    <row r="265" spans="1:8">
      <c r="A265" s="230" t="s">
        <v>3720</v>
      </c>
      <c r="B265" s="230" t="s">
        <v>3721</v>
      </c>
      <c r="C265" s="230" t="s">
        <v>1286</v>
      </c>
      <c r="D265" s="230" t="s">
        <v>1287</v>
      </c>
      <c r="E265" s="246" t="s">
        <v>657</v>
      </c>
      <c r="F265" s="230" t="s">
        <v>658</v>
      </c>
      <c r="G265" s="233" t="s">
        <v>644</v>
      </c>
      <c r="H265" s="233" t="s">
        <v>659</v>
      </c>
    </row>
    <row r="266" spans="1:8">
      <c r="A266" s="230" t="s">
        <v>3720</v>
      </c>
      <c r="B266" s="230" t="s">
        <v>3721</v>
      </c>
      <c r="C266" s="230" t="s">
        <v>1288</v>
      </c>
      <c r="D266" s="230" t="s">
        <v>1289</v>
      </c>
      <c r="E266" s="246" t="s">
        <v>657</v>
      </c>
      <c r="F266" s="230" t="s">
        <v>658</v>
      </c>
      <c r="G266" s="233" t="s">
        <v>644</v>
      </c>
      <c r="H266" s="233" t="s">
        <v>659</v>
      </c>
    </row>
    <row r="267" spans="1:8">
      <c r="A267" s="230" t="s">
        <v>3720</v>
      </c>
      <c r="B267" s="230" t="s">
        <v>3721</v>
      </c>
      <c r="C267" s="230" t="s">
        <v>1290</v>
      </c>
      <c r="D267" s="230" t="s">
        <v>1291</v>
      </c>
      <c r="E267" s="246" t="s">
        <v>657</v>
      </c>
      <c r="F267" s="230" t="s">
        <v>658</v>
      </c>
      <c r="G267" s="233" t="s">
        <v>644</v>
      </c>
      <c r="H267" s="233" t="s">
        <v>659</v>
      </c>
    </row>
    <row r="268" spans="1:8">
      <c r="A268" s="230" t="s">
        <v>3720</v>
      </c>
      <c r="B268" s="230" t="s">
        <v>3721</v>
      </c>
      <c r="C268" s="230" t="s">
        <v>1292</v>
      </c>
      <c r="D268" s="230" t="s">
        <v>1293</v>
      </c>
      <c r="E268" s="246" t="s">
        <v>657</v>
      </c>
      <c r="F268" s="230" t="s">
        <v>658</v>
      </c>
      <c r="G268" s="233" t="s">
        <v>644</v>
      </c>
      <c r="H268" s="233" t="s">
        <v>659</v>
      </c>
    </row>
    <row r="269" spans="1:8">
      <c r="A269" s="230" t="s">
        <v>3720</v>
      </c>
      <c r="B269" s="230" t="s">
        <v>3721</v>
      </c>
      <c r="C269" s="230" t="s">
        <v>1294</v>
      </c>
      <c r="D269" s="230" t="s">
        <v>1295</v>
      </c>
      <c r="E269" s="246" t="s">
        <v>657</v>
      </c>
      <c r="F269" s="230" t="s">
        <v>658</v>
      </c>
      <c r="G269" s="233" t="s">
        <v>644</v>
      </c>
      <c r="H269" s="233" t="s">
        <v>659</v>
      </c>
    </row>
    <row r="270" spans="1:8">
      <c r="A270" s="230" t="s">
        <v>3720</v>
      </c>
      <c r="B270" s="230" t="s">
        <v>3721</v>
      </c>
      <c r="C270" s="230" t="s">
        <v>1296</v>
      </c>
      <c r="D270" s="230" t="s">
        <v>1297</v>
      </c>
      <c r="E270" s="246" t="s">
        <v>657</v>
      </c>
      <c r="F270" s="230" t="s">
        <v>658</v>
      </c>
      <c r="G270" s="233" t="s">
        <v>644</v>
      </c>
      <c r="H270" s="233" t="s">
        <v>659</v>
      </c>
    </row>
    <row r="271" spans="1:8">
      <c r="A271" s="230" t="s">
        <v>3720</v>
      </c>
      <c r="B271" s="230" t="s">
        <v>3721</v>
      </c>
      <c r="C271" s="230" t="s">
        <v>1298</v>
      </c>
      <c r="D271" s="230" t="s">
        <v>1299</v>
      </c>
      <c r="E271" s="246" t="s">
        <v>657</v>
      </c>
      <c r="F271" s="230" t="s">
        <v>658</v>
      </c>
      <c r="G271" s="233" t="s">
        <v>644</v>
      </c>
      <c r="H271" s="233" t="s">
        <v>659</v>
      </c>
    </row>
    <row r="272" spans="1:8">
      <c r="A272" s="230" t="s">
        <v>3722</v>
      </c>
      <c r="B272" s="230" t="s">
        <v>3723</v>
      </c>
      <c r="C272" s="230" t="s">
        <v>1300</v>
      </c>
      <c r="D272" s="230" t="s">
        <v>1301</v>
      </c>
      <c r="E272" s="246" t="s">
        <v>657</v>
      </c>
      <c r="F272" s="230" t="s">
        <v>658</v>
      </c>
      <c r="G272" s="233" t="s">
        <v>644</v>
      </c>
      <c r="H272" s="233" t="s">
        <v>659</v>
      </c>
    </row>
    <row r="273" spans="1:8">
      <c r="A273" s="230" t="s">
        <v>3722</v>
      </c>
      <c r="B273" s="230" t="s">
        <v>3723</v>
      </c>
      <c r="C273" s="230" t="s">
        <v>1302</v>
      </c>
      <c r="D273" s="230" t="s">
        <v>1303</v>
      </c>
      <c r="E273" s="246" t="s">
        <v>657</v>
      </c>
      <c r="F273" s="230" t="s">
        <v>658</v>
      </c>
      <c r="G273" s="233" t="s">
        <v>644</v>
      </c>
      <c r="H273" s="233" t="s">
        <v>659</v>
      </c>
    </row>
    <row r="274" spans="1:8">
      <c r="A274" s="230" t="s">
        <v>3722</v>
      </c>
      <c r="B274" s="230" t="s">
        <v>3723</v>
      </c>
      <c r="C274" s="230" t="s">
        <v>1304</v>
      </c>
      <c r="D274" s="230" t="s">
        <v>1305</v>
      </c>
      <c r="E274" s="246" t="s">
        <v>657</v>
      </c>
      <c r="F274" s="230" t="s">
        <v>658</v>
      </c>
      <c r="G274" s="233" t="s">
        <v>644</v>
      </c>
      <c r="H274" s="233" t="s">
        <v>659</v>
      </c>
    </row>
    <row r="275" spans="1:8">
      <c r="A275" s="230" t="s">
        <v>3722</v>
      </c>
      <c r="B275" s="230" t="s">
        <v>3723</v>
      </c>
      <c r="C275" s="230" t="s">
        <v>1306</v>
      </c>
      <c r="D275" s="230" t="s">
        <v>1307</v>
      </c>
      <c r="E275" s="246" t="s">
        <v>657</v>
      </c>
      <c r="F275" s="230" t="s">
        <v>658</v>
      </c>
      <c r="G275" s="233" t="s">
        <v>644</v>
      </c>
      <c r="H275" s="233" t="s">
        <v>659</v>
      </c>
    </row>
    <row r="276" spans="1:8">
      <c r="A276" s="230" t="s">
        <v>3722</v>
      </c>
      <c r="B276" s="230" t="s">
        <v>3723</v>
      </c>
      <c r="C276" s="230" t="s">
        <v>1308</v>
      </c>
      <c r="D276" s="230" t="s">
        <v>1309</v>
      </c>
      <c r="E276" s="246" t="s">
        <v>657</v>
      </c>
      <c r="F276" s="230" t="s">
        <v>658</v>
      </c>
      <c r="G276" s="233" t="s">
        <v>644</v>
      </c>
      <c r="H276" s="233" t="s">
        <v>659</v>
      </c>
    </row>
    <row r="277" spans="1:8">
      <c r="A277" s="230" t="s">
        <v>3722</v>
      </c>
      <c r="B277" s="230" t="s">
        <v>3723</v>
      </c>
      <c r="C277" s="230" t="s">
        <v>1310</v>
      </c>
      <c r="D277" s="230" t="s">
        <v>1311</v>
      </c>
      <c r="E277" s="246" t="s">
        <v>657</v>
      </c>
      <c r="F277" s="230" t="s">
        <v>658</v>
      </c>
      <c r="G277" s="233" t="s">
        <v>644</v>
      </c>
      <c r="H277" s="233" t="s">
        <v>659</v>
      </c>
    </row>
    <row r="278" spans="1:8">
      <c r="A278" s="230" t="s">
        <v>3722</v>
      </c>
      <c r="B278" s="230" t="s">
        <v>3723</v>
      </c>
      <c r="C278" s="230" t="s">
        <v>1312</v>
      </c>
      <c r="D278" s="230" t="s">
        <v>1313</v>
      </c>
      <c r="E278" s="246" t="s">
        <v>657</v>
      </c>
      <c r="F278" s="230" t="s">
        <v>658</v>
      </c>
      <c r="G278" s="233" t="s">
        <v>644</v>
      </c>
      <c r="H278" s="233" t="s">
        <v>659</v>
      </c>
    </row>
    <row r="279" spans="1:8">
      <c r="A279" s="230" t="s">
        <v>3722</v>
      </c>
      <c r="B279" s="230" t="s">
        <v>3723</v>
      </c>
      <c r="C279" s="230" t="s">
        <v>1314</v>
      </c>
      <c r="D279" s="230" t="s">
        <v>1315</v>
      </c>
      <c r="E279" s="246" t="s">
        <v>657</v>
      </c>
      <c r="F279" s="230" t="s">
        <v>658</v>
      </c>
      <c r="G279" s="233" t="s">
        <v>644</v>
      </c>
      <c r="H279" s="233" t="s">
        <v>659</v>
      </c>
    </row>
    <row r="280" spans="1:8">
      <c r="A280" s="230" t="s">
        <v>3722</v>
      </c>
      <c r="B280" s="230" t="s">
        <v>3723</v>
      </c>
      <c r="C280" s="230" t="s">
        <v>1316</v>
      </c>
      <c r="D280" s="230" t="s">
        <v>1317</v>
      </c>
      <c r="E280" s="246" t="s">
        <v>657</v>
      </c>
      <c r="F280" s="230" t="s">
        <v>658</v>
      </c>
      <c r="G280" s="233" t="s">
        <v>644</v>
      </c>
      <c r="H280" s="233" t="s">
        <v>659</v>
      </c>
    </row>
    <row r="281" spans="1:8">
      <c r="A281" s="230" t="s">
        <v>3722</v>
      </c>
      <c r="B281" s="230" t="s">
        <v>3723</v>
      </c>
      <c r="C281" s="230" t="s">
        <v>1318</v>
      </c>
      <c r="D281" s="230" t="s">
        <v>1319</v>
      </c>
      <c r="E281" s="246" t="s">
        <v>657</v>
      </c>
      <c r="F281" s="230" t="s">
        <v>658</v>
      </c>
      <c r="G281" s="233" t="s">
        <v>644</v>
      </c>
      <c r="H281" s="233" t="s">
        <v>659</v>
      </c>
    </row>
    <row r="282" spans="1:8">
      <c r="A282" s="230" t="s">
        <v>3722</v>
      </c>
      <c r="B282" s="230" t="s">
        <v>3723</v>
      </c>
      <c r="C282" s="230" t="s">
        <v>1320</v>
      </c>
      <c r="D282" s="230" t="s">
        <v>1321</v>
      </c>
      <c r="E282" s="246" t="s">
        <v>657</v>
      </c>
      <c r="F282" s="230" t="s">
        <v>658</v>
      </c>
      <c r="G282" s="233" t="s">
        <v>644</v>
      </c>
      <c r="H282" s="233" t="s">
        <v>659</v>
      </c>
    </row>
    <row r="283" spans="1:8">
      <c r="A283" s="230" t="s">
        <v>3722</v>
      </c>
      <c r="B283" s="230" t="s">
        <v>3723</v>
      </c>
      <c r="C283" s="230" t="s">
        <v>1322</v>
      </c>
      <c r="D283" s="230" t="s">
        <v>1323</v>
      </c>
      <c r="E283" s="246" t="s">
        <v>657</v>
      </c>
      <c r="F283" s="230" t="s">
        <v>658</v>
      </c>
      <c r="G283" s="233" t="s">
        <v>644</v>
      </c>
      <c r="H283" s="233" t="s">
        <v>659</v>
      </c>
    </row>
    <row r="284" spans="1:8">
      <c r="A284" s="230" t="s">
        <v>3722</v>
      </c>
      <c r="B284" s="230" t="s">
        <v>3723</v>
      </c>
      <c r="C284" s="230" t="s">
        <v>1324</v>
      </c>
      <c r="D284" s="230" t="s">
        <v>1325</v>
      </c>
      <c r="E284" s="246" t="s">
        <v>657</v>
      </c>
      <c r="F284" s="230" t="s">
        <v>658</v>
      </c>
      <c r="G284" s="233" t="s">
        <v>644</v>
      </c>
      <c r="H284" s="233" t="s">
        <v>659</v>
      </c>
    </row>
    <row r="285" spans="1:8">
      <c r="A285" s="230" t="s">
        <v>3722</v>
      </c>
      <c r="B285" s="230" t="s">
        <v>3723</v>
      </c>
      <c r="C285" s="230" t="s">
        <v>1326</v>
      </c>
      <c r="D285" s="230" t="s">
        <v>1327</v>
      </c>
      <c r="E285" s="246" t="s">
        <v>657</v>
      </c>
      <c r="F285" s="230" t="s">
        <v>658</v>
      </c>
      <c r="G285" s="233" t="s">
        <v>644</v>
      </c>
      <c r="H285" s="233" t="s">
        <v>659</v>
      </c>
    </row>
    <row r="286" spans="1:8">
      <c r="A286" s="230" t="s">
        <v>3722</v>
      </c>
      <c r="B286" s="230" t="s">
        <v>3723</v>
      </c>
      <c r="C286" s="230" t="s">
        <v>1328</v>
      </c>
      <c r="D286" s="230" t="s">
        <v>1329</v>
      </c>
      <c r="E286" s="246" t="s">
        <v>657</v>
      </c>
      <c r="F286" s="230" t="s">
        <v>658</v>
      </c>
      <c r="G286" s="233" t="s">
        <v>644</v>
      </c>
      <c r="H286" s="233" t="s">
        <v>659</v>
      </c>
    </row>
    <row r="287" spans="1:8">
      <c r="A287" s="230" t="s">
        <v>3722</v>
      </c>
      <c r="B287" s="230" t="s">
        <v>3723</v>
      </c>
      <c r="C287" s="230" t="s">
        <v>1330</v>
      </c>
      <c r="D287" s="230" t="s">
        <v>1331</v>
      </c>
      <c r="E287" s="246" t="s">
        <v>657</v>
      </c>
      <c r="F287" s="230" t="s">
        <v>658</v>
      </c>
      <c r="G287" s="233" t="s">
        <v>644</v>
      </c>
      <c r="H287" s="233" t="s">
        <v>659</v>
      </c>
    </row>
    <row r="288" spans="1:8">
      <c r="A288" s="230" t="s">
        <v>3722</v>
      </c>
      <c r="B288" s="230" t="s">
        <v>3723</v>
      </c>
      <c r="C288" s="230" t="s">
        <v>1332</v>
      </c>
      <c r="D288" s="230" t="s">
        <v>1333</v>
      </c>
      <c r="E288" s="246" t="s">
        <v>657</v>
      </c>
      <c r="F288" s="230" t="s">
        <v>658</v>
      </c>
      <c r="G288" s="233" t="s">
        <v>644</v>
      </c>
      <c r="H288" s="233" t="s">
        <v>659</v>
      </c>
    </row>
    <row r="289" spans="1:8">
      <c r="A289" s="230" t="s">
        <v>3722</v>
      </c>
      <c r="B289" s="230" t="s">
        <v>3723</v>
      </c>
      <c r="C289" s="230" t="s">
        <v>1334</v>
      </c>
      <c r="D289" s="230" t="s">
        <v>1335</v>
      </c>
      <c r="E289" s="246" t="s">
        <v>657</v>
      </c>
      <c r="F289" s="230" t="s">
        <v>658</v>
      </c>
      <c r="G289" s="233" t="s">
        <v>644</v>
      </c>
      <c r="H289" s="233" t="s">
        <v>659</v>
      </c>
    </row>
    <row r="290" spans="1:8">
      <c r="A290" s="230" t="s">
        <v>3722</v>
      </c>
      <c r="B290" s="230" t="s">
        <v>3723</v>
      </c>
      <c r="C290" s="230" t="s">
        <v>1336</v>
      </c>
      <c r="D290" s="230" t="s">
        <v>1337</v>
      </c>
      <c r="E290" s="246" t="s">
        <v>657</v>
      </c>
      <c r="F290" s="230" t="s">
        <v>658</v>
      </c>
      <c r="G290" s="233" t="s">
        <v>644</v>
      </c>
      <c r="H290" s="233" t="s">
        <v>659</v>
      </c>
    </row>
    <row r="291" spans="1:8">
      <c r="A291" s="230" t="s">
        <v>3722</v>
      </c>
      <c r="B291" s="230" t="s">
        <v>3723</v>
      </c>
      <c r="C291" s="230" t="s">
        <v>1338</v>
      </c>
      <c r="D291" s="230" t="s">
        <v>1339</v>
      </c>
      <c r="E291" s="246" t="s">
        <v>657</v>
      </c>
      <c r="F291" s="230" t="s">
        <v>658</v>
      </c>
      <c r="G291" s="233" t="s">
        <v>644</v>
      </c>
      <c r="H291" s="233" t="s">
        <v>659</v>
      </c>
    </row>
    <row r="292" spans="1:8">
      <c r="A292" s="230" t="s">
        <v>3722</v>
      </c>
      <c r="B292" s="230" t="s">
        <v>3723</v>
      </c>
      <c r="C292" s="230" t="s">
        <v>1340</v>
      </c>
      <c r="D292" s="230" t="s">
        <v>1341</v>
      </c>
      <c r="E292" s="246" t="s">
        <v>657</v>
      </c>
      <c r="F292" s="230" t="s">
        <v>658</v>
      </c>
      <c r="G292" s="233" t="s">
        <v>644</v>
      </c>
      <c r="H292" s="233" t="s">
        <v>659</v>
      </c>
    </row>
    <row r="293" spans="1:8">
      <c r="A293" s="230" t="s">
        <v>3722</v>
      </c>
      <c r="B293" s="230" t="s">
        <v>3723</v>
      </c>
      <c r="C293" s="230" t="s">
        <v>1342</v>
      </c>
      <c r="D293" s="230" t="s">
        <v>1343</v>
      </c>
      <c r="E293" s="246" t="s">
        <v>657</v>
      </c>
      <c r="F293" s="230" t="s">
        <v>658</v>
      </c>
      <c r="G293" s="233" t="s">
        <v>644</v>
      </c>
      <c r="H293" s="233" t="s">
        <v>659</v>
      </c>
    </row>
    <row r="294" spans="1:8">
      <c r="A294" s="230" t="s">
        <v>3722</v>
      </c>
      <c r="B294" s="230" t="s">
        <v>3723</v>
      </c>
      <c r="C294" s="230" t="s">
        <v>1344</v>
      </c>
      <c r="D294" s="230" t="s">
        <v>1345</v>
      </c>
      <c r="E294" s="246" t="s">
        <v>657</v>
      </c>
      <c r="F294" s="230" t="s">
        <v>658</v>
      </c>
      <c r="G294" s="233" t="s">
        <v>644</v>
      </c>
      <c r="H294" s="233" t="s">
        <v>659</v>
      </c>
    </row>
    <row r="295" spans="1:8">
      <c r="A295" s="230" t="s">
        <v>3724</v>
      </c>
      <c r="B295" s="230" t="s">
        <v>3725</v>
      </c>
      <c r="C295" s="230" t="s">
        <v>1346</v>
      </c>
      <c r="D295" s="230" t="s">
        <v>1347</v>
      </c>
      <c r="E295" s="246" t="s">
        <v>1043</v>
      </c>
      <c r="F295" s="230" t="s">
        <v>1044</v>
      </c>
      <c r="G295" s="233" t="s">
        <v>644</v>
      </c>
      <c r="H295" s="233" t="s">
        <v>1045</v>
      </c>
    </row>
    <row r="296" spans="1:8">
      <c r="A296" s="230" t="s">
        <v>3724</v>
      </c>
      <c r="B296" s="230" t="s">
        <v>3725</v>
      </c>
      <c r="C296" s="230" t="s">
        <v>1346</v>
      </c>
      <c r="D296" s="230" t="s">
        <v>1347</v>
      </c>
      <c r="E296" s="246" t="s">
        <v>657</v>
      </c>
      <c r="F296" s="230" t="s">
        <v>658</v>
      </c>
      <c r="G296" s="233" t="s">
        <v>644</v>
      </c>
      <c r="H296" s="233" t="s">
        <v>659</v>
      </c>
    </row>
    <row r="297" spans="1:8">
      <c r="A297" s="230" t="s">
        <v>3724</v>
      </c>
      <c r="B297" s="230" t="s">
        <v>3725</v>
      </c>
      <c r="C297" s="230" t="s">
        <v>1348</v>
      </c>
      <c r="D297" s="230" t="s">
        <v>1349</v>
      </c>
      <c r="E297" s="246" t="s">
        <v>657</v>
      </c>
      <c r="F297" s="230" t="s">
        <v>658</v>
      </c>
      <c r="G297" s="233" t="s">
        <v>644</v>
      </c>
      <c r="H297" s="233" t="s">
        <v>659</v>
      </c>
    </row>
    <row r="298" spans="1:8">
      <c r="A298" s="230" t="s">
        <v>3724</v>
      </c>
      <c r="B298" s="230" t="s">
        <v>3725</v>
      </c>
      <c r="C298" s="230" t="s">
        <v>1350</v>
      </c>
      <c r="D298" s="230" t="s">
        <v>1351</v>
      </c>
      <c r="E298" s="246" t="s">
        <v>657</v>
      </c>
      <c r="F298" s="230" t="s">
        <v>658</v>
      </c>
      <c r="G298" s="233" t="s">
        <v>644</v>
      </c>
      <c r="H298" s="233" t="s">
        <v>659</v>
      </c>
    </row>
    <row r="299" spans="1:8">
      <c r="A299" s="230" t="s">
        <v>3724</v>
      </c>
      <c r="B299" s="230" t="s">
        <v>3725</v>
      </c>
      <c r="C299" s="230" t="s">
        <v>1352</v>
      </c>
      <c r="D299" s="230" t="s">
        <v>1353</v>
      </c>
      <c r="E299" s="246" t="s">
        <v>657</v>
      </c>
      <c r="F299" s="230" t="s">
        <v>658</v>
      </c>
      <c r="G299" s="233" t="s">
        <v>644</v>
      </c>
      <c r="H299" s="233" t="s">
        <v>659</v>
      </c>
    </row>
    <row r="300" spans="1:8">
      <c r="A300" s="230" t="s">
        <v>3724</v>
      </c>
      <c r="B300" s="230" t="s">
        <v>3725</v>
      </c>
      <c r="C300" s="230" t="s">
        <v>1354</v>
      </c>
      <c r="D300" s="230" t="s">
        <v>1355</v>
      </c>
      <c r="E300" s="246" t="s">
        <v>657</v>
      </c>
      <c r="F300" s="230" t="s">
        <v>658</v>
      </c>
      <c r="G300" s="233" t="s">
        <v>644</v>
      </c>
      <c r="H300" s="233" t="s">
        <v>659</v>
      </c>
    </row>
    <row r="301" spans="1:8">
      <c r="A301" s="230" t="s">
        <v>3724</v>
      </c>
      <c r="B301" s="230" t="s">
        <v>3725</v>
      </c>
      <c r="C301" s="230" t="s">
        <v>1356</v>
      </c>
      <c r="D301" s="230" t="s">
        <v>793</v>
      </c>
      <c r="E301" s="246" t="s">
        <v>657</v>
      </c>
      <c r="F301" s="230" t="s">
        <v>658</v>
      </c>
      <c r="G301" s="233" t="s">
        <v>644</v>
      </c>
      <c r="H301" s="233" t="s">
        <v>659</v>
      </c>
    </row>
    <row r="302" spans="1:8">
      <c r="A302" s="230" t="s">
        <v>3724</v>
      </c>
      <c r="B302" s="230" t="s">
        <v>3725</v>
      </c>
      <c r="C302" s="230" t="s">
        <v>1357</v>
      </c>
      <c r="D302" s="230" t="s">
        <v>1358</v>
      </c>
      <c r="E302" s="246" t="s">
        <v>657</v>
      </c>
      <c r="F302" s="230" t="s">
        <v>658</v>
      </c>
      <c r="G302" s="233" t="s">
        <v>644</v>
      </c>
      <c r="H302" s="233" t="s">
        <v>659</v>
      </c>
    </row>
    <row r="303" spans="1:8">
      <c r="A303" s="230" t="s">
        <v>3724</v>
      </c>
      <c r="B303" s="230" t="s">
        <v>3725</v>
      </c>
      <c r="C303" s="230" t="s">
        <v>1359</v>
      </c>
      <c r="D303" s="230" t="s">
        <v>1360</v>
      </c>
      <c r="E303" s="246" t="s">
        <v>657</v>
      </c>
      <c r="F303" s="230" t="s">
        <v>658</v>
      </c>
      <c r="G303" s="233" t="s">
        <v>644</v>
      </c>
      <c r="H303" s="233" t="s">
        <v>659</v>
      </c>
    </row>
    <row r="304" spans="1:8">
      <c r="A304" s="230" t="s">
        <v>3724</v>
      </c>
      <c r="B304" s="230" t="s">
        <v>3725</v>
      </c>
      <c r="C304" s="230" t="s">
        <v>1361</v>
      </c>
      <c r="D304" s="230" t="s">
        <v>1362</v>
      </c>
      <c r="E304" s="246" t="s">
        <v>1043</v>
      </c>
      <c r="F304" s="230" t="s">
        <v>1044</v>
      </c>
      <c r="G304" s="233" t="s">
        <v>644</v>
      </c>
      <c r="H304" s="233" t="s">
        <v>1045</v>
      </c>
    </row>
    <row r="305" spans="1:8">
      <c r="A305" s="230" t="s">
        <v>3724</v>
      </c>
      <c r="B305" s="230" t="s">
        <v>3725</v>
      </c>
      <c r="C305" s="230" t="s">
        <v>1361</v>
      </c>
      <c r="D305" s="230" t="s">
        <v>1362</v>
      </c>
      <c r="E305" s="246" t="s">
        <v>657</v>
      </c>
      <c r="F305" s="230" t="s">
        <v>658</v>
      </c>
      <c r="G305" s="233" t="s">
        <v>644</v>
      </c>
      <c r="H305" s="233" t="s">
        <v>659</v>
      </c>
    </row>
    <row r="306" spans="1:8">
      <c r="A306" s="230" t="s">
        <v>3724</v>
      </c>
      <c r="B306" s="230" t="s">
        <v>3725</v>
      </c>
      <c r="C306" s="230" t="s">
        <v>1363</v>
      </c>
      <c r="D306" s="230" t="s">
        <v>1364</v>
      </c>
      <c r="E306" s="246" t="s">
        <v>657</v>
      </c>
      <c r="F306" s="230" t="s">
        <v>658</v>
      </c>
      <c r="G306" s="233" t="s">
        <v>644</v>
      </c>
      <c r="H306" s="233" t="s">
        <v>659</v>
      </c>
    </row>
    <row r="307" spans="1:8">
      <c r="A307" s="230" t="s">
        <v>3724</v>
      </c>
      <c r="B307" s="230" t="s">
        <v>3725</v>
      </c>
      <c r="C307" s="230" t="s">
        <v>1365</v>
      </c>
      <c r="D307" s="230" t="s">
        <v>1366</v>
      </c>
      <c r="E307" s="246" t="s">
        <v>657</v>
      </c>
      <c r="F307" s="230" t="s">
        <v>658</v>
      </c>
      <c r="G307" s="233" t="s">
        <v>644</v>
      </c>
      <c r="H307" s="233" t="s">
        <v>659</v>
      </c>
    </row>
    <row r="308" spans="1:8">
      <c r="A308" s="230" t="s">
        <v>3724</v>
      </c>
      <c r="B308" s="230" t="s">
        <v>3725</v>
      </c>
      <c r="C308" s="230" t="s">
        <v>1367</v>
      </c>
      <c r="D308" s="230" t="s">
        <v>1368</v>
      </c>
      <c r="E308" s="246" t="s">
        <v>657</v>
      </c>
      <c r="F308" s="230" t="s">
        <v>658</v>
      </c>
      <c r="G308" s="233" t="s">
        <v>644</v>
      </c>
      <c r="H308" s="233" t="s">
        <v>659</v>
      </c>
    </row>
    <row r="309" spans="1:8">
      <c r="A309" s="230" t="s">
        <v>3724</v>
      </c>
      <c r="B309" s="230" t="s">
        <v>3725</v>
      </c>
      <c r="C309" s="230" t="s">
        <v>1369</v>
      </c>
      <c r="D309" s="230" t="s">
        <v>1370</v>
      </c>
      <c r="E309" s="246" t="s">
        <v>657</v>
      </c>
      <c r="F309" s="230" t="s">
        <v>658</v>
      </c>
      <c r="G309" s="233" t="s">
        <v>644</v>
      </c>
      <c r="H309" s="233" t="s">
        <v>659</v>
      </c>
    </row>
    <row r="310" spans="1:8">
      <c r="A310" s="230" t="s">
        <v>3724</v>
      </c>
      <c r="B310" s="230" t="s">
        <v>3725</v>
      </c>
      <c r="C310" s="230" t="s">
        <v>1371</v>
      </c>
      <c r="D310" s="230" t="s">
        <v>1372</v>
      </c>
      <c r="E310" s="246" t="s">
        <v>657</v>
      </c>
      <c r="F310" s="230" t="s">
        <v>658</v>
      </c>
      <c r="G310" s="233" t="s">
        <v>644</v>
      </c>
      <c r="H310" s="233" t="s">
        <v>659</v>
      </c>
    </row>
    <row r="311" spans="1:8">
      <c r="A311" s="230" t="s">
        <v>3724</v>
      </c>
      <c r="B311" s="230" t="s">
        <v>3725</v>
      </c>
      <c r="C311" s="230" t="s">
        <v>1373</v>
      </c>
      <c r="D311" s="230" t="s">
        <v>1374</v>
      </c>
      <c r="E311" s="246" t="s">
        <v>657</v>
      </c>
      <c r="F311" s="230" t="s">
        <v>658</v>
      </c>
      <c r="G311" s="233" t="s">
        <v>644</v>
      </c>
      <c r="H311" s="233" t="s">
        <v>659</v>
      </c>
    </row>
    <row r="312" spans="1:8">
      <c r="A312" s="230" t="s">
        <v>3724</v>
      </c>
      <c r="B312" s="230" t="s">
        <v>3725</v>
      </c>
      <c r="C312" s="230" t="s">
        <v>1375</v>
      </c>
      <c r="D312" s="230" t="s">
        <v>1142</v>
      </c>
      <c r="E312" s="246" t="s">
        <v>1043</v>
      </c>
      <c r="F312" s="230" t="s">
        <v>1044</v>
      </c>
      <c r="G312" s="233" t="s">
        <v>644</v>
      </c>
      <c r="H312" s="233" t="s">
        <v>1045</v>
      </c>
    </row>
    <row r="313" spans="1:8">
      <c r="A313" s="230" t="s">
        <v>3724</v>
      </c>
      <c r="B313" s="230" t="s">
        <v>3725</v>
      </c>
      <c r="C313" s="230" t="s">
        <v>1376</v>
      </c>
      <c r="D313" s="230" t="s">
        <v>1377</v>
      </c>
      <c r="E313" s="246" t="s">
        <v>1043</v>
      </c>
      <c r="F313" s="230" t="s">
        <v>1044</v>
      </c>
      <c r="G313" s="233" t="s">
        <v>644</v>
      </c>
      <c r="H313" s="233" t="s">
        <v>1045</v>
      </c>
    </row>
    <row r="314" spans="1:8">
      <c r="A314" s="230" t="s">
        <v>3726</v>
      </c>
      <c r="B314" s="230" t="s">
        <v>3727</v>
      </c>
      <c r="C314" s="230" t="s">
        <v>647</v>
      </c>
      <c r="D314" s="230" t="s">
        <v>648</v>
      </c>
      <c r="E314" s="246" t="s">
        <v>649</v>
      </c>
      <c r="F314" s="230" t="s">
        <v>650</v>
      </c>
      <c r="G314" s="233" t="s">
        <v>651</v>
      </c>
      <c r="H314" s="233" t="s">
        <v>652</v>
      </c>
    </row>
    <row r="315" spans="1:8">
      <c r="A315" s="230" t="s">
        <v>3726</v>
      </c>
      <c r="B315" s="230" t="s">
        <v>3727</v>
      </c>
      <c r="C315" s="230" t="s">
        <v>740</v>
      </c>
      <c r="D315" s="230" t="s">
        <v>741</v>
      </c>
      <c r="E315" s="246" t="s">
        <v>649</v>
      </c>
      <c r="F315" s="230" t="s">
        <v>650</v>
      </c>
      <c r="G315" s="233" t="s">
        <v>651</v>
      </c>
      <c r="H315" s="233" t="s">
        <v>652</v>
      </c>
    </row>
    <row r="316" spans="1:8">
      <c r="A316" s="230" t="s">
        <v>3726</v>
      </c>
      <c r="B316" s="230" t="s">
        <v>3727</v>
      </c>
      <c r="C316" s="230" t="s">
        <v>1378</v>
      </c>
      <c r="D316" s="230" t="s">
        <v>1379</v>
      </c>
      <c r="E316" s="246" t="s">
        <v>649</v>
      </c>
      <c r="F316" s="230" t="s">
        <v>650</v>
      </c>
      <c r="G316" s="233" t="s">
        <v>651</v>
      </c>
      <c r="H316" s="233" t="s">
        <v>652</v>
      </c>
    </row>
    <row r="317" spans="1:8">
      <c r="A317" s="230" t="s">
        <v>3726</v>
      </c>
      <c r="B317" s="230" t="s">
        <v>3727</v>
      </c>
      <c r="C317" s="230" t="s">
        <v>1380</v>
      </c>
      <c r="D317" s="230" t="s">
        <v>1381</v>
      </c>
      <c r="E317" s="246" t="s">
        <v>649</v>
      </c>
      <c r="F317" s="230" t="s">
        <v>650</v>
      </c>
      <c r="G317" s="233" t="s">
        <v>651</v>
      </c>
      <c r="H317" s="233" t="s">
        <v>652</v>
      </c>
    </row>
    <row r="318" spans="1:8">
      <c r="A318" s="230" t="s">
        <v>3726</v>
      </c>
      <c r="B318" s="230" t="s">
        <v>3727</v>
      </c>
      <c r="C318" s="230" t="s">
        <v>1382</v>
      </c>
      <c r="D318" s="230" t="s">
        <v>1383</v>
      </c>
      <c r="E318" s="246" t="s">
        <v>649</v>
      </c>
      <c r="F318" s="230" t="s">
        <v>650</v>
      </c>
      <c r="G318" s="233" t="s">
        <v>651</v>
      </c>
      <c r="H318" s="233" t="s">
        <v>652</v>
      </c>
    </row>
    <row r="319" spans="1:8">
      <c r="A319" s="230" t="s">
        <v>3726</v>
      </c>
      <c r="B319" s="230" t="s">
        <v>3727</v>
      </c>
      <c r="C319" s="230" t="s">
        <v>832</v>
      </c>
      <c r="D319" s="230" t="s">
        <v>833</v>
      </c>
      <c r="E319" s="246" t="s">
        <v>649</v>
      </c>
      <c r="F319" s="230" t="s">
        <v>650</v>
      </c>
      <c r="G319" s="233" t="s">
        <v>651</v>
      </c>
      <c r="H319" s="233" t="s">
        <v>652</v>
      </c>
    </row>
    <row r="320" spans="1:8">
      <c r="A320" s="230" t="s">
        <v>3726</v>
      </c>
      <c r="B320" s="230" t="s">
        <v>3727</v>
      </c>
      <c r="C320" s="230" t="s">
        <v>914</v>
      </c>
      <c r="D320" s="230" t="s">
        <v>915</v>
      </c>
      <c r="E320" s="246" t="s">
        <v>649</v>
      </c>
      <c r="F320" s="230" t="s">
        <v>650</v>
      </c>
      <c r="G320" s="233" t="s">
        <v>651</v>
      </c>
      <c r="H320" s="233" t="s">
        <v>652</v>
      </c>
    </row>
    <row r="321" spans="1:8">
      <c r="A321" s="230" t="s">
        <v>3726</v>
      </c>
      <c r="B321" s="230" t="s">
        <v>3727</v>
      </c>
      <c r="C321" s="230" t="s">
        <v>1384</v>
      </c>
      <c r="D321" s="230" t="s">
        <v>1385</v>
      </c>
      <c r="E321" s="246" t="s">
        <v>649</v>
      </c>
      <c r="F321" s="230" t="s">
        <v>650</v>
      </c>
      <c r="G321" s="233" t="s">
        <v>651</v>
      </c>
      <c r="H321" s="233" t="s">
        <v>652</v>
      </c>
    </row>
    <row r="322" spans="1:8">
      <c r="A322" s="230" t="s">
        <v>3726</v>
      </c>
      <c r="B322" s="230" t="s">
        <v>3727</v>
      </c>
      <c r="C322" s="230" t="s">
        <v>1386</v>
      </c>
      <c r="D322" s="230" t="s">
        <v>1387</v>
      </c>
      <c r="E322" s="246" t="s">
        <v>649</v>
      </c>
      <c r="F322" s="230" t="s">
        <v>650</v>
      </c>
      <c r="G322" s="233" t="s">
        <v>651</v>
      </c>
      <c r="H322" s="233" t="s">
        <v>652</v>
      </c>
    </row>
    <row r="323" spans="1:8">
      <c r="A323" s="230" t="s">
        <v>3726</v>
      </c>
      <c r="B323" s="230" t="s">
        <v>3727</v>
      </c>
      <c r="C323" s="230" t="s">
        <v>1388</v>
      </c>
      <c r="D323" s="230" t="s">
        <v>1389</v>
      </c>
      <c r="E323" s="246" t="s">
        <v>649</v>
      </c>
      <c r="F323" s="230" t="s">
        <v>650</v>
      </c>
      <c r="G323" s="233" t="s">
        <v>651</v>
      </c>
      <c r="H323" s="233" t="s">
        <v>652</v>
      </c>
    </row>
    <row r="324" spans="1:8">
      <c r="A324" s="230" t="s">
        <v>3726</v>
      </c>
      <c r="B324" s="230" t="s">
        <v>3727</v>
      </c>
      <c r="C324" s="230" t="s">
        <v>1390</v>
      </c>
      <c r="D324" s="230" t="s">
        <v>1142</v>
      </c>
      <c r="E324" s="246" t="s">
        <v>649</v>
      </c>
      <c r="F324" s="230" t="s">
        <v>650</v>
      </c>
      <c r="G324" s="233" t="s">
        <v>651</v>
      </c>
      <c r="H324" s="233" t="s">
        <v>652</v>
      </c>
    </row>
  </sheetData>
  <autoFilter ref="A3:H324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B1116"/>
  <sheetViews>
    <sheetView zoomScaleNormal="100" workbookViewId="0">
      <pane xSplit="1" ySplit="2" topLeftCell="B274" activePane="bottomRight" state="frozen"/>
      <selection pane="bottomRight" activeCell="B291" sqref="B291"/>
      <selection pane="bottomLeft" activeCell="A3" sqref="A3"/>
      <selection pane="topRight" activeCell="B1" sqref="B1"/>
    </sheetView>
  </sheetViews>
  <sheetFormatPr defaultRowHeight="15"/>
  <cols>
    <col min="1" max="1" width="22.5703125" customWidth="1"/>
    <col min="2" max="2" width="131" customWidth="1"/>
  </cols>
  <sheetData>
    <row r="1" spans="1:2">
      <c r="A1" s="115" t="s">
        <v>3728</v>
      </c>
      <c r="B1" s="116"/>
    </row>
    <row r="2" spans="1:2">
      <c r="A2" s="157" t="s">
        <v>1399</v>
      </c>
      <c r="B2" s="158"/>
    </row>
    <row r="3" spans="1:2">
      <c r="A3" s="148" t="s">
        <v>3692</v>
      </c>
      <c r="B3" s="152" t="s">
        <v>38</v>
      </c>
    </row>
    <row r="4" spans="1:2">
      <c r="A4" s="149" t="s">
        <v>28</v>
      </c>
      <c r="B4" s="153" t="s">
        <v>3699</v>
      </c>
    </row>
    <row r="5" spans="1:2">
      <c r="A5" s="150" t="s">
        <v>1010</v>
      </c>
      <c r="B5" s="151" t="s">
        <v>1011</v>
      </c>
    </row>
    <row r="6" spans="1:2">
      <c r="A6" s="155" t="s">
        <v>1400</v>
      </c>
      <c r="B6" s="154" t="s">
        <v>1401</v>
      </c>
    </row>
    <row r="7" spans="1:2">
      <c r="A7" s="155" t="s">
        <v>1402</v>
      </c>
      <c r="B7" s="154" t="s">
        <v>1403</v>
      </c>
    </row>
    <row r="8" spans="1:2">
      <c r="A8" s="155" t="s">
        <v>1405</v>
      </c>
      <c r="B8" s="154" t="s">
        <v>1406</v>
      </c>
    </row>
    <row r="9" spans="1:2">
      <c r="A9" s="155" t="s">
        <v>1408</v>
      </c>
      <c r="B9" s="154" t="s">
        <v>1409</v>
      </c>
    </row>
    <row r="10" spans="1:2">
      <c r="A10" s="155" t="s">
        <v>1411</v>
      </c>
      <c r="B10" s="154" t="s">
        <v>1412</v>
      </c>
    </row>
    <row r="11" spans="1:2">
      <c r="A11" s="155" t="s">
        <v>1413</v>
      </c>
      <c r="B11" s="154" t="s">
        <v>1414</v>
      </c>
    </row>
    <row r="12" spans="1:2">
      <c r="A12" s="155" t="s">
        <v>1415</v>
      </c>
      <c r="B12" s="154" t="s">
        <v>1416</v>
      </c>
    </row>
    <row r="13" spans="1:2" ht="15.75" customHeight="1">
      <c r="A13" s="155" t="s">
        <v>1417</v>
      </c>
      <c r="B13" s="154" t="s">
        <v>1418</v>
      </c>
    </row>
    <row r="14" spans="1:2">
      <c r="A14" s="150" t="s">
        <v>1058</v>
      </c>
      <c r="B14" s="151" t="s">
        <v>1059</v>
      </c>
    </row>
    <row r="15" spans="1:2">
      <c r="A15" s="155" t="s">
        <v>1419</v>
      </c>
      <c r="B15" s="154" t="s">
        <v>1420</v>
      </c>
    </row>
    <row r="16" spans="1:2">
      <c r="A16" s="155" t="s">
        <v>1421</v>
      </c>
      <c r="B16" s="154" t="s">
        <v>1422</v>
      </c>
    </row>
    <row r="17" spans="1:2">
      <c r="A17" s="155" t="s">
        <v>1424</v>
      </c>
      <c r="B17" s="154" t="s">
        <v>1425</v>
      </c>
    </row>
    <row r="18" spans="1:2">
      <c r="A18" s="155" t="s">
        <v>1426</v>
      </c>
      <c r="B18" s="154" t="s">
        <v>1427</v>
      </c>
    </row>
    <row r="19" spans="1:2">
      <c r="A19" s="155" t="s">
        <v>1429</v>
      </c>
      <c r="B19" s="154" t="s">
        <v>1430</v>
      </c>
    </row>
    <row r="20" spans="1:2">
      <c r="A20" s="155" t="s">
        <v>1431</v>
      </c>
      <c r="B20" s="154" t="s">
        <v>1432</v>
      </c>
    </row>
    <row r="21" spans="1:2">
      <c r="A21" s="155" t="s">
        <v>1433</v>
      </c>
      <c r="B21" s="154" t="s">
        <v>1434</v>
      </c>
    </row>
    <row r="22" spans="1:2">
      <c r="A22" s="155" t="s">
        <v>1435</v>
      </c>
      <c r="B22" s="154" t="s">
        <v>1436</v>
      </c>
    </row>
    <row r="23" spans="1:2">
      <c r="A23" s="155" t="s">
        <v>1437</v>
      </c>
      <c r="B23" s="154" t="s">
        <v>1438</v>
      </c>
    </row>
    <row r="24" spans="1:2">
      <c r="A24" s="155" t="s">
        <v>1440</v>
      </c>
      <c r="B24" s="154" t="s">
        <v>1441</v>
      </c>
    </row>
    <row r="25" spans="1:2">
      <c r="A25" s="155" t="s">
        <v>1443</v>
      </c>
      <c r="B25" s="154" t="s">
        <v>1444</v>
      </c>
    </row>
    <row r="26" spans="1:2">
      <c r="A26" s="155" t="s">
        <v>1446</v>
      </c>
      <c r="B26" s="154" t="s">
        <v>1447</v>
      </c>
    </row>
    <row r="27" spans="1:2">
      <c r="A27" s="155" t="s">
        <v>1448</v>
      </c>
      <c r="B27" s="154" t="s">
        <v>1449</v>
      </c>
    </row>
    <row r="28" spans="1:2">
      <c r="A28" s="155" t="s">
        <v>1450</v>
      </c>
      <c r="B28" s="154" t="s">
        <v>1451</v>
      </c>
    </row>
    <row r="29" spans="1:2">
      <c r="A29" s="155" t="s">
        <v>1452</v>
      </c>
      <c r="B29" s="154" t="s">
        <v>1453</v>
      </c>
    </row>
    <row r="30" spans="1:2">
      <c r="A30" s="155" t="s">
        <v>1454</v>
      </c>
      <c r="B30" s="154" t="s">
        <v>1455</v>
      </c>
    </row>
    <row r="31" spans="1:2">
      <c r="A31" s="155" t="s">
        <v>1457</v>
      </c>
      <c r="B31" s="154" t="s">
        <v>1458</v>
      </c>
    </row>
    <row r="32" spans="1:2">
      <c r="A32" s="155" t="s">
        <v>1459</v>
      </c>
      <c r="B32" s="154" t="s">
        <v>1460</v>
      </c>
    </row>
    <row r="33" spans="1:2">
      <c r="A33" s="155" t="s">
        <v>1461</v>
      </c>
      <c r="B33" s="154" t="s">
        <v>1462</v>
      </c>
    </row>
    <row r="34" spans="1:2">
      <c r="A34" s="155" t="s">
        <v>1464</v>
      </c>
      <c r="B34" s="154" t="s">
        <v>1465</v>
      </c>
    </row>
    <row r="35" spans="1:2">
      <c r="A35" s="155" t="s">
        <v>1466</v>
      </c>
      <c r="B35" s="154" t="s">
        <v>1467</v>
      </c>
    </row>
    <row r="36" spans="1:2">
      <c r="A36" s="155" t="s">
        <v>3729</v>
      </c>
      <c r="B36" s="154" t="s">
        <v>3730</v>
      </c>
    </row>
    <row r="37" spans="1:2">
      <c r="A37" s="149" t="s">
        <v>35</v>
      </c>
      <c r="B37" s="153" t="s">
        <v>34</v>
      </c>
    </row>
    <row r="38" spans="1:2">
      <c r="A38" s="150" t="s">
        <v>1085</v>
      </c>
      <c r="B38" s="151" t="s">
        <v>1086</v>
      </c>
    </row>
    <row r="39" spans="1:2">
      <c r="A39" s="155" t="s">
        <v>3731</v>
      </c>
      <c r="B39" s="154" t="s">
        <v>3732</v>
      </c>
    </row>
    <row r="40" spans="1:2">
      <c r="A40" s="155" t="s">
        <v>3733</v>
      </c>
      <c r="B40" s="154" t="s">
        <v>3734</v>
      </c>
    </row>
    <row r="41" spans="1:2">
      <c r="A41" s="155" t="s">
        <v>3735</v>
      </c>
      <c r="B41" s="154" t="s">
        <v>3736</v>
      </c>
    </row>
    <row r="42" spans="1:2">
      <c r="A42" s="155" t="s">
        <v>1468</v>
      </c>
      <c r="B42" s="154" t="s">
        <v>1469</v>
      </c>
    </row>
    <row r="43" spans="1:2">
      <c r="A43" s="155" t="s">
        <v>1470</v>
      </c>
      <c r="B43" s="154" t="s">
        <v>1471</v>
      </c>
    </row>
    <row r="44" spans="1:2">
      <c r="A44" s="155" t="s">
        <v>1472</v>
      </c>
      <c r="B44" s="154" t="s">
        <v>1473</v>
      </c>
    </row>
    <row r="45" spans="1:2">
      <c r="A45" s="155" t="s">
        <v>3737</v>
      </c>
      <c r="B45" s="154" t="s">
        <v>3738</v>
      </c>
    </row>
    <row r="46" spans="1:2">
      <c r="A46" s="155" t="s">
        <v>1474</v>
      </c>
      <c r="B46" s="154" t="s">
        <v>1475</v>
      </c>
    </row>
    <row r="47" spans="1:2">
      <c r="A47" s="155" t="s">
        <v>1476</v>
      </c>
      <c r="B47" s="154" t="s">
        <v>1477</v>
      </c>
    </row>
    <row r="48" spans="1:2">
      <c r="A48" s="155" t="s">
        <v>1479</v>
      </c>
      <c r="B48" s="154" t="s">
        <v>1480</v>
      </c>
    </row>
    <row r="49" spans="1:2">
      <c r="A49" s="155" t="s">
        <v>1481</v>
      </c>
      <c r="B49" s="154" t="s">
        <v>1482</v>
      </c>
    </row>
    <row r="50" spans="1:2">
      <c r="A50" s="155" t="s">
        <v>1483</v>
      </c>
      <c r="B50" s="154" t="s">
        <v>1484</v>
      </c>
    </row>
    <row r="51" spans="1:2">
      <c r="A51" s="155" t="s">
        <v>1485</v>
      </c>
      <c r="B51" s="154" t="s">
        <v>1486</v>
      </c>
    </row>
    <row r="52" spans="1:2">
      <c r="A52" s="155" t="s">
        <v>1487</v>
      </c>
      <c r="B52" s="154" t="s">
        <v>1488</v>
      </c>
    </row>
    <row r="53" spans="1:2">
      <c r="A53" s="155" t="s">
        <v>1489</v>
      </c>
      <c r="B53" s="154" t="s">
        <v>1490</v>
      </c>
    </row>
    <row r="54" spans="1:2">
      <c r="A54" s="155" t="s">
        <v>1491</v>
      </c>
      <c r="B54" s="154" t="s">
        <v>1492</v>
      </c>
    </row>
    <row r="55" spans="1:2">
      <c r="A55" s="155" t="s">
        <v>1493</v>
      </c>
      <c r="B55" s="154" t="s">
        <v>1494</v>
      </c>
    </row>
    <row r="56" spans="1:2">
      <c r="A56" s="155" t="s">
        <v>1495</v>
      </c>
      <c r="B56" s="154" t="s">
        <v>1496</v>
      </c>
    </row>
    <row r="57" spans="1:2">
      <c r="A57" s="155" t="s">
        <v>1497</v>
      </c>
      <c r="B57" s="154" t="s">
        <v>1498</v>
      </c>
    </row>
    <row r="58" spans="1:2">
      <c r="A58" s="155" t="s">
        <v>1499</v>
      </c>
      <c r="B58" s="154" t="s">
        <v>1500</v>
      </c>
    </row>
    <row r="59" spans="1:2">
      <c r="A59" s="155" t="s">
        <v>1501</v>
      </c>
      <c r="B59" s="154" t="s">
        <v>1502</v>
      </c>
    </row>
    <row r="60" spans="1:2">
      <c r="A60" s="155" t="s">
        <v>1503</v>
      </c>
      <c r="B60" s="154" t="s">
        <v>1504</v>
      </c>
    </row>
    <row r="61" spans="1:2">
      <c r="A61" s="155" t="s">
        <v>1505</v>
      </c>
      <c r="B61" s="154" t="s">
        <v>1506</v>
      </c>
    </row>
    <row r="62" spans="1:2">
      <c r="A62" s="155" t="s">
        <v>1507</v>
      </c>
      <c r="B62" s="154" t="s">
        <v>1508</v>
      </c>
    </row>
    <row r="63" spans="1:2">
      <c r="A63" s="155" t="s">
        <v>1509</v>
      </c>
      <c r="B63" s="154" t="s">
        <v>1510</v>
      </c>
    </row>
    <row r="64" spans="1:2">
      <c r="A64" s="155" t="s">
        <v>1511</v>
      </c>
      <c r="B64" s="154" t="s">
        <v>1512</v>
      </c>
    </row>
    <row r="65" spans="1:2">
      <c r="A65" s="155" t="s">
        <v>1513</v>
      </c>
      <c r="B65" s="154" t="s">
        <v>1514</v>
      </c>
    </row>
    <row r="66" spans="1:2">
      <c r="A66" s="155" t="s">
        <v>1515</v>
      </c>
      <c r="B66" s="154" t="s">
        <v>1516</v>
      </c>
    </row>
    <row r="67" spans="1:2">
      <c r="A67" s="155" t="s">
        <v>1517</v>
      </c>
      <c r="B67" s="154" t="s">
        <v>1518</v>
      </c>
    </row>
    <row r="68" spans="1:2">
      <c r="A68" s="155" t="s">
        <v>1519</v>
      </c>
      <c r="B68" s="154" t="s">
        <v>1520</v>
      </c>
    </row>
    <row r="69" spans="1:2">
      <c r="A69" s="155" t="s">
        <v>1521</v>
      </c>
      <c r="B69" s="154" t="s">
        <v>1522</v>
      </c>
    </row>
    <row r="70" spans="1:2">
      <c r="A70" s="155" t="s">
        <v>1523</v>
      </c>
      <c r="B70" s="154" t="s">
        <v>1524</v>
      </c>
    </row>
    <row r="71" spans="1:2">
      <c r="A71" s="155" t="s">
        <v>1525</v>
      </c>
      <c r="B71" s="154" t="s">
        <v>1526</v>
      </c>
    </row>
    <row r="72" spans="1:2">
      <c r="A72" s="155" t="s">
        <v>1527</v>
      </c>
      <c r="B72" s="154" t="s">
        <v>1528</v>
      </c>
    </row>
    <row r="73" spans="1:2">
      <c r="A73" s="155" t="s">
        <v>1529</v>
      </c>
      <c r="B73" s="154" t="s">
        <v>1530</v>
      </c>
    </row>
    <row r="74" spans="1:2">
      <c r="A74" s="155" t="s">
        <v>1531</v>
      </c>
      <c r="B74" s="154" t="s">
        <v>1532</v>
      </c>
    </row>
    <row r="75" spans="1:2">
      <c r="A75" s="155" t="s">
        <v>1533</v>
      </c>
      <c r="B75" s="154" t="s">
        <v>1534</v>
      </c>
    </row>
    <row r="76" spans="1:2">
      <c r="A76" s="155" t="s">
        <v>1535</v>
      </c>
      <c r="B76" s="154" t="s">
        <v>1536</v>
      </c>
    </row>
    <row r="77" spans="1:2">
      <c r="A77" s="155" t="s">
        <v>1537</v>
      </c>
      <c r="B77" s="154" t="s">
        <v>1538</v>
      </c>
    </row>
    <row r="78" spans="1:2">
      <c r="A78" s="155" t="s">
        <v>1539</v>
      </c>
      <c r="B78" s="154" t="s">
        <v>1540</v>
      </c>
    </row>
    <row r="79" spans="1:2">
      <c r="A79" s="155" t="s">
        <v>1541</v>
      </c>
      <c r="B79" s="154" t="s">
        <v>1542</v>
      </c>
    </row>
    <row r="80" spans="1:2">
      <c r="A80" s="155" t="s">
        <v>1543</v>
      </c>
      <c r="B80" s="154" t="s">
        <v>1544</v>
      </c>
    </row>
    <row r="81" spans="1:2">
      <c r="A81" s="155" t="s">
        <v>1545</v>
      </c>
      <c r="B81" s="154" t="s">
        <v>1546</v>
      </c>
    </row>
    <row r="82" spans="1:2">
      <c r="A82" s="155" t="s">
        <v>1547</v>
      </c>
      <c r="B82" s="154" t="s">
        <v>1548</v>
      </c>
    </row>
    <row r="83" spans="1:2">
      <c r="A83" s="155" t="s">
        <v>1549</v>
      </c>
      <c r="B83" s="154" t="s">
        <v>1550</v>
      </c>
    </row>
    <row r="84" spans="1:2">
      <c r="A84" s="155" t="s">
        <v>1551</v>
      </c>
      <c r="B84" s="154" t="s">
        <v>1552</v>
      </c>
    </row>
    <row r="85" spans="1:2">
      <c r="A85" s="155" t="s">
        <v>1553</v>
      </c>
      <c r="B85" s="154" t="s">
        <v>1554</v>
      </c>
    </row>
    <row r="86" spans="1:2">
      <c r="A86" s="155" t="s">
        <v>1555</v>
      </c>
      <c r="B86" s="154" t="s">
        <v>1556</v>
      </c>
    </row>
    <row r="87" spans="1:2">
      <c r="A87" s="155" t="s">
        <v>1557</v>
      </c>
      <c r="B87" s="154" t="s">
        <v>1558</v>
      </c>
    </row>
    <row r="88" spans="1:2">
      <c r="A88" s="155" t="s">
        <v>1559</v>
      </c>
      <c r="B88" s="154" t="s">
        <v>1560</v>
      </c>
    </row>
    <row r="89" spans="1:2">
      <c r="A89" s="155" t="s">
        <v>1561</v>
      </c>
      <c r="B89" s="154" t="s">
        <v>1562</v>
      </c>
    </row>
    <row r="90" spans="1:2">
      <c r="A90" s="155" t="s">
        <v>1563</v>
      </c>
      <c r="B90" s="154" t="s">
        <v>1564</v>
      </c>
    </row>
    <row r="91" spans="1:2">
      <c r="A91" s="155" t="s">
        <v>1565</v>
      </c>
      <c r="B91" s="154" t="s">
        <v>1566</v>
      </c>
    </row>
    <row r="92" spans="1:2">
      <c r="A92" s="155" t="s">
        <v>1567</v>
      </c>
      <c r="B92" s="154" t="s">
        <v>1568</v>
      </c>
    </row>
    <row r="93" spans="1:2">
      <c r="A93" s="155" t="s">
        <v>1569</v>
      </c>
      <c r="B93" s="154" t="s">
        <v>1570</v>
      </c>
    </row>
    <row r="94" spans="1:2">
      <c r="A94" s="155" t="s">
        <v>1571</v>
      </c>
      <c r="B94" s="154" t="s">
        <v>1403</v>
      </c>
    </row>
    <row r="95" spans="1:2">
      <c r="A95" s="150" t="s">
        <v>1087</v>
      </c>
      <c r="B95" s="151" t="s">
        <v>1088</v>
      </c>
    </row>
    <row r="96" spans="1:2">
      <c r="A96" s="155" t="s">
        <v>1572</v>
      </c>
      <c r="B96" s="154" t="s">
        <v>1573</v>
      </c>
    </row>
    <row r="97" spans="1:2">
      <c r="A97" s="155" t="s">
        <v>1574</v>
      </c>
      <c r="B97" s="154" t="s">
        <v>1575</v>
      </c>
    </row>
    <row r="98" spans="1:2">
      <c r="A98" s="155" t="s">
        <v>1576</v>
      </c>
      <c r="B98" s="154" t="s">
        <v>1577</v>
      </c>
    </row>
    <row r="99" spans="1:2">
      <c r="A99" s="155" t="s">
        <v>1578</v>
      </c>
      <c r="B99" s="154" t="s">
        <v>1579</v>
      </c>
    </row>
    <row r="100" spans="1:2">
      <c r="A100" s="155" t="s">
        <v>1580</v>
      </c>
      <c r="B100" s="154" t="s">
        <v>1581</v>
      </c>
    </row>
    <row r="101" spans="1:2">
      <c r="A101" s="155" t="s">
        <v>1582</v>
      </c>
      <c r="B101" s="154" t="s">
        <v>1583</v>
      </c>
    </row>
    <row r="102" spans="1:2">
      <c r="A102" s="155" t="s">
        <v>1584</v>
      </c>
      <c r="B102" s="154" t="s">
        <v>1585</v>
      </c>
    </row>
    <row r="103" spans="1:2">
      <c r="A103" s="155" t="s">
        <v>1586</v>
      </c>
      <c r="B103" s="154" t="s">
        <v>1587</v>
      </c>
    </row>
    <row r="104" spans="1:2">
      <c r="A104" s="155" t="s">
        <v>1588</v>
      </c>
      <c r="B104" s="154" t="s">
        <v>1589</v>
      </c>
    </row>
    <row r="105" spans="1:2">
      <c r="A105" s="155" t="s">
        <v>1590</v>
      </c>
      <c r="B105" s="154" t="s">
        <v>1591</v>
      </c>
    </row>
    <row r="106" spans="1:2">
      <c r="A106" s="155" t="s">
        <v>1592</v>
      </c>
      <c r="B106" s="154" t="s">
        <v>1593</v>
      </c>
    </row>
    <row r="107" spans="1:2">
      <c r="A107" s="155" t="s">
        <v>1594</v>
      </c>
      <c r="B107" s="154" t="s">
        <v>1595</v>
      </c>
    </row>
    <row r="108" spans="1:2">
      <c r="A108" s="155" t="s">
        <v>1596</v>
      </c>
      <c r="B108" s="154" t="s">
        <v>1597</v>
      </c>
    </row>
    <row r="109" spans="1:2">
      <c r="A109" s="155" t="s">
        <v>1598</v>
      </c>
      <c r="B109" s="154" t="s">
        <v>1599</v>
      </c>
    </row>
    <row r="110" spans="1:2">
      <c r="A110" s="155" t="s">
        <v>1600</v>
      </c>
      <c r="B110" s="154" t="s">
        <v>1601</v>
      </c>
    </row>
    <row r="111" spans="1:2">
      <c r="A111" s="155" t="s">
        <v>1602</v>
      </c>
      <c r="B111" s="154" t="s">
        <v>1603</v>
      </c>
    </row>
    <row r="112" spans="1:2">
      <c r="A112" s="155" t="s">
        <v>1604</v>
      </c>
      <c r="B112" s="154" t="s">
        <v>1605</v>
      </c>
    </row>
    <row r="113" spans="1:2">
      <c r="A113" s="155" t="s">
        <v>1607</v>
      </c>
      <c r="B113" s="154" t="s">
        <v>1608</v>
      </c>
    </row>
    <row r="114" spans="1:2">
      <c r="A114" s="155" t="s">
        <v>1610</v>
      </c>
      <c r="B114" s="154" t="s">
        <v>1611</v>
      </c>
    </row>
    <row r="115" spans="1:2">
      <c r="A115" s="155" t="s">
        <v>1612</v>
      </c>
      <c r="B115" s="154" t="s">
        <v>1613</v>
      </c>
    </row>
    <row r="116" spans="1:2">
      <c r="A116" s="155" t="s">
        <v>1614</v>
      </c>
      <c r="B116" s="154" t="s">
        <v>1615</v>
      </c>
    </row>
    <row r="117" spans="1:2">
      <c r="A117" s="155" t="s">
        <v>1616</v>
      </c>
      <c r="B117" s="154" t="s">
        <v>1617</v>
      </c>
    </row>
    <row r="118" spans="1:2">
      <c r="A118" s="155" t="s">
        <v>1618</v>
      </c>
      <c r="B118" s="154" t="s">
        <v>1619</v>
      </c>
    </row>
    <row r="119" spans="1:2">
      <c r="A119" s="155" t="s">
        <v>1620</v>
      </c>
      <c r="B119" s="154" t="s">
        <v>1621</v>
      </c>
    </row>
    <row r="120" spans="1:2">
      <c r="A120" s="155" t="s">
        <v>1622</v>
      </c>
      <c r="B120" s="154" t="s">
        <v>1623</v>
      </c>
    </row>
    <row r="121" spans="1:2">
      <c r="A121" s="155" t="s">
        <v>1624</v>
      </c>
      <c r="B121" s="154" t="s">
        <v>1625</v>
      </c>
    </row>
    <row r="122" spans="1:2">
      <c r="A122" s="155" t="s">
        <v>1626</v>
      </c>
      <c r="B122" s="154" t="s">
        <v>1627</v>
      </c>
    </row>
    <row r="123" spans="1:2">
      <c r="A123" s="155" t="s">
        <v>1628</v>
      </c>
      <c r="B123" s="154" t="s">
        <v>1629</v>
      </c>
    </row>
    <row r="124" spans="1:2">
      <c r="A124" s="155" t="s">
        <v>1630</v>
      </c>
      <c r="B124" s="154" t="s">
        <v>1631</v>
      </c>
    </row>
    <row r="125" spans="1:2">
      <c r="A125" s="155" t="s">
        <v>1632</v>
      </c>
      <c r="B125" s="154" t="s">
        <v>1633</v>
      </c>
    </row>
    <row r="126" spans="1:2">
      <c r="A126" s="155" t="s">
        <v>1634</v>
      </c>
      <c r="B126" s="154" t="s">
        <v>1635</v>
      </c>
    </row>
    <row r="127" spans="1:2">
      <c r="A127" s="155" t="s">
        <v>1636</v>
      </c>
      <c r="B127" s="154" t="s">
        <v>1637</v>
      </c>
    </row>
    <row r="128" spans="1:2">
      <c r="A128" s="155" t="s">
        <v>1638</v>
      </c>
      <c r="B128" s="154" t="s">
        <v>1639</v>
      </c>
    </row>
    <row r="129" spans="1:2">
      <c r="A129" s="155" t="s">
        <v>1640</v>
      </c>
      <c r="B129" s="154" t="s">
        <v>1641</v>
      </c>
    </row>
    <row r="130" spans="1:2">
      <c r="A130" s="155" t="s">
        <v>1642</v>
      </c>
      <c r="B130" s="154" t="s">
        <v>1643</v>
      </c>
    </row>
    <row r="131" spans="1:2">
      <c r="A131" s="155" t="s">
        <v>1644</v>
      </c>
      <c r="B131" s="154" t="s">
        <v>1645</v>
      </c>
    </row>
    <row r="132" spans="1:2">
      <c r="A132" s="155" t="s">
        <v>1646</v>
      </c>
      <c r="B132" s="154" t="s">
        <v>1647</v>
      </c>
    </row>
    <row r="133" spans="1:2">
      <c r="A133" s="155" t="s">
        <v>1648</v>
      </c>
      <c r="B133" s="154" t="s">
        <v>1649</v>
      </c>
    </row>
    <row r="134" spans="1:2">
      <c r="A134" s="155" t="s">
        <v>1650</v>
      </c>
      <c r="B134" s="154" t="s">
        <v>1651</v>
      </c>
    </row>
    <row r="135" spans="1:2">
      <c r="A135" s="155" t="s">
        <v>1652</v>
      </c>
      <c r="B135" s="154" t="s">
        <v>1653</v>
      </c>
    </row>
    <row r="136" spans="1:2">
      <c r="A136" s="155" t="s">
        <v>1654</v>
      </c>
      <c r="B136" s="154" t="s">
        <v>1655</v>
      </c>
    </row>
    <row r="137" spans="1:2">
      <c r="A137" s="155" t="s">
        <v>1656</v>
      </c>
      <c r="B137" s="154" t="s">
        <v>1657</v>
      </c>
    </row>
    <row r="138" spans="1:2">
      <c r="A138" s="155" t="s">
        <v>1658</v>
      </c>
      <c r="B138" s="154" t="s">
        <v>1659</v>
      </c>
    </row>
    <row r="139" spans="1:2">
      <c r="A139" s="155" t="s">
        <v>1660</v>
      </c>
      <c r="B139" s="154" t="s">
        <v>1661</v>
      </c>
    </row>
    <row r="140" spans="1:2">
      <c r="A140" s="155" t="s">
        <v>1662</v>
      </c>
      <c r="B140" s="154" t="s">
        <v>1663</v>
      </c>
    </row>
    <row r="141" spans="1:2">
      <c r="A141" s="155" t="s">
        <v>1664</v>
      </c>
      <c r="B141" s="154" t="s">
        <v>1665</v>
      </c>
    </row>
    <row r="142" spans="1:2">
      <c r="A142" s="155" t="s">
        <v>1666</v>
      </c>
      <c r="B142" s="154" t="s">
        <v>1667</v>
      </c>
    </row>
    <row r="143" spans="1:2">
      <c r="A143" s="155" t="s">
        <v>1668</v>
      </c>
      <c r="B143" s="154" t="s">
        <v>1669</v>
      </c>
    </row>
    <row r="144" spans="1:2">
      <c r="A144" s="155" t="s">
        <v>1670</v>
      </c>
      <c r="B144" s="154" t="s">
        <v>1671</v>
      </c>
    </row>
    <row r="145" spans="1:2">
      <c r="A145" s="155" t="s">
        <v>1672</v>
      </c>
      <c r="B145" s="154" t="s">
        <v>1673</v>
      </c>
    </row>
    <row r="146" spans="1:2">
      <c r="A146" s="155" t="s">
        <v>1674</v>
      </c>
      <c r="B146" s="154" t="s">
        <v>1675</v>
      </c>
    </row>
    <row r="147" spans="1:2">
      <c r="A147" s="155" t="s">
        <v>1676</v>
      </c>
      <c r="B147" s="154" t="s">
        <v>1677</v>
      </c>
    </row>
    <row r="148" spans="1:2">
      <c r="A148" s="155" t="s">
        <v>1678</v>
      </c>
      <c r="B148" s="154" t="s">
        <v>1679</v>
      </c>
    </row>
    <row r="149" spans="1:2">
      <c r="A149" s="155" t="s">
        <v>1680</v>
      </c>
      <c r="B149" s="154" t="s">
        <v>1681</v>
      </c>
    </row>
    <row r="150" spans="1:2">
      <c r="A150" s="155" t="s">
        <v>1682</v>
      </c>
      <c r="B150" s="154" t="s">
        <v>1683</v>
      </c>
    </row>
    <row r="151" spans="1:2">
      <c r="A151" s="155" t="s">
        <v>1684</v>
      </c>
      <c r="B151" s="154" t="s">
        <v>1685</v>
      </c>
    </row>
    <row r="152" spans="1:2">
      <c r="A152" s="155" t="s">
        <v>1686</v>
      </c>
      <c r="B152" s="154" t="s">
        <v>1687</v>
      </c>
    </row>
    <row r="153" spans="1:2">
      <c r="A153" s="155" t="s">
        <v>1688</v>
      </c>
      <c r="B153" s="154" t="s">
        <v>1689</v>
      </c>
    </row>
    <row r="154" spans="1:2">
      <c r="A154" s="155" t="s">
        <v>1690</v>
      </c>
      <c r="B154" s="154" t="s">
        <v>1691</v>
      </c>
    </row>
    <row r="155" spans="1:2">
      <c r="A155" s="155" t="s">
        <v>1692</v>
      </c>
      <c r="B155" s="154" t="s">
        <v>1693</v>
      </c>
    </row>
    <row r="156" spans="1:2">
      <c r="A156" s="155" t="s">
        <v>1694</v>
      </c>
      <c r="B156" s="154" t="s">
        <v>1695</v>
      </c>
    </row>
    <row r="157" spans="1:2">
      <c r="A157" s="155" t="s">
        <v>1696</v>
      </c>
      <c r="B157" s="154" t="s">
        <v>1518</v>
      </c>
    </row>
    <row r="158" spans="1:2">
      <c r="A158" s="155" t="s">
        <v>1697</v>
      </c>
      <c r="B158" s="154" t="s">
        <v>1698</v>
      </c>
    </row>
    <row r="159" spans="1:2">
      <c r="A159" s="155" t="s">
        <v>1699</v>
      </c>
      <c r="B159" s="154" t="s">
        <v>1700</v>
      </c>
    </row>
    <row r="160" spans="1:2">
      <c r="A160" s="155" t="s">
        <v>1701</v>
      </c>
      <c r="B160" s="154" t="s">
        <v>1702</v>
      </c>
    </row>
    <row r="161" spans="1:2">
      <c r="A161" s="155" t="s">
        <v>1703</v>
      </c>
      <c r="B161" s="154" t="s">
        <v>1704</v>
      </c>
    </row>
    <row r="162" spans="1:2">
      <c r="A162" s="155" t="s">
        <v>1705</v>
      </c>
      <c r="B162" s="154" t="s">
        <v>1706</v>
      </c>
    </row>
    <row r="163" spans="1:2">
      <c r="A163" s="155" t="s">
        <v>1707</v>
      </c>
      <c r="B163" s="154" t="s">
        <v>1708</v>
      </c>
    </row>
    <row r="164" spans="1:2">
      <c r="A164" s="155" t="s">
        <v>1709</v>
      </c>
      <c r="B164" s="154" t="s">
        <v>1710</v>
      </c>
    </row>
    <row r="165" spans="1:2">
      <c r="A165" s="155" t="s">
        <v>1711</v>
      </c>
      <c r="B165" s="154" t="s">
        <v>1712</v>
      </c>
    </row>
    <row r="166" spans="1:2">
      <c r="A166" s="155" t="s">
        <v>1713</v>
      </c>
      <c r="B166" s="154" t="s">
        <v>1714</v>
      </c>
    </row>
    <row r="167" spans="1:2">
      <c r="A167" s="155" t="s">
        <v>1715</v>
      </c>
      <c r="B167" s="154" t="s">
        <v>1716</v>
      </c>
    </row>
    <row r="168" spans="1:2">
      <c r="A168" s="155" t="s">
        <v>1717</v>
      </c>
      <c r="B168" s="154" t="s">
        <v>1718</v>
      </c>
    </row>
    <row r="169" spans="1:2">
      <c r="A169" s="155" t="s">
        <v>1719</v>
      </c>
      <c r="B169" s="154" t="s">
        <v>1720</v>
      </c>
    </row>
    <row r="170" spans="1:2">
      <c r="A170" s="155" t="s">
        <v>1721</v>
      </c>
      <c r="B170" s="154" t="s">
        <v>1722</v>
      </c>
    </row>
    <row r="171" spans="1:2">
      <c r="A171" s="155" t="s">
        <v>1723</v>
      </c>
      <c r="B171" s="154" t="s">
        <v>1724</v>
      </c>
    </row>
    <row r="172" spans="1:2">
      <c r="A172" s="155" t="s">
        <v>1725</v>
      </c>
      <c r="B172" s="154" t="s">
        <v>1726</v>
      </c>
    </row>
    <row r="173" spans="1:2">
      <c r="A173" s="155" t="s">
        <v>1727</v>
      </c>
      <c r="B173" s="154" t="s">
        <v>1728</v>
      </c>
    </row>
    <row r="174" spans="1:2">
      <c r="A174" s="155" t="s">
        <v>1729</v>
      </c>
      <c r="B174" s="154" t="s">
        <v>1730</v>
      </c>
    </row>
    <row r="175" spans="1:2">
      <c r="A175" s="155" t="s">
        <v>1731</v>
      </c>
      <c r="B175" s="154" t="s">
        <v>1732</v>
      </c>
    </row>
    <row r="176" spans="1:2">
      <c r="A176" s="155" t="s">
        <v>1733</v>
      </c>
      <c r="B176" s="154" t="s">
        <v>1734</v>
      </c>
    </row>
    <row r="177" spans="1:2">
      <c r="A177" s="155" t="s">
        <v>1735</v>
      </c>
      <c r="B177" s="154" t="s">
        <v>1736</v>
      </c>
    </row>
    <row r="178" spans="1:2">
      <c r="A178" s="155" t="s">
        <v>1737</v>
      </c>
      <c r="B178" s="154" t="s">
        <v>1738</v>
      </c>
    </row>
    <row r="179" spans="1:2">
      <c r="A179" s="155" t="s">
        <v>1739</v>
      </c>
      <c r="B179" s="154" t="s">
        <v>1740</v>
      </c>
    </row>
    <row r="180" spans="1:2">
      <c r="A180" s="155" t="s">
        <v>1741</v>
      </c>
      <c r="B180" s="154" t="s">
        <v>1742</v>
      </c>
    </row>
    <row r="181" spans="1:2">
      <c r="A181" s="155" t="s">
        <v>1743</v>
      </c>
      <c r="B181" s="154" t="s">
        <v>1744</v>
      </c>
    </row>
    <row r="182" spans="1:2">
      <c r="A182" s="155" t="s">
        <v>1745</v>
      </c>
      <c r="B182" s="154" t="s">
        <v>1746</v>
      </c>
    </row>
    <row r="183" spans="1:2">
      <c r="A183" s="155" t="s">
        <v>1747</v>
      </c>
      <c r="B183" s="154" t="s">
        <v>1748</v>
      </c>
    </row>
    <row r="184" spans="1:2">
      <c r="A184" s="155" t="s">
        <v>1749</v>
      </c>
      <c r="B184" s="154" t="s">
        <v>1750</v>
      </c>
    </row>
    <row r="185" spans="1:2">
      <c r="A185" s="155" t="s">
        <v>1751</v>
      </c>
      <c r="B185" s="154" t="s">
        <v>1752</v>
      </c>
    </row>
    <row r="186" spans="1:2">
      <c r="A186" s="155" t="s">
        <v>1753</v>
      </c>
      <c r="B186" s="154" t="s">
        <v>1754</v>
      </c>
    </row>
    <row r="187" spans="1:2">
      <c r="A187" s="155" t="s">
        <v>1755</v>
      </c>
      <c r="B187" s="154" t="s">
        <v>1756</v>
      </c>
    </row>
    <row r="188" spans="1:2">
      <c r="A188" s="155" t="s">
        <v>1757</v>
      </c>
      <c r="B188" s="154" t="s">
        <v>1758</v>
      </c>
    </row>
    <row r="189" spans="1:2">
      <c r="A189" s="155" t="s">
        <v>1759</v>
      </c>
      <c r="B189" s="154" t="s">
        <v>1760</v>
      </c>
    </row>
    <row r="190" spans="1:2">
      <c r="A190" s="155" t="s">
        <v>1761</v>
      </c>
      <c r="B190" s="154" t="s">
        <v>1762</v>
      </c>
    </row>
    <row r="191" spans="1:2">
      <c r="A191" s="155" t="s">
        <v>1763</v>
      </c>
      <c r="B191" s="154" t="s">
        <v>1764</v>
      </c>
    </row>
    <row r="192" spans="1:2">
      <c r="A192" s="155" t="s">
        <v>1765</v>
      </c>
      <c r="B192" s="154" t="s">
        <v>1766</v>
      </c>
    </row>
    <row r="193" spans="1:2">
      <c r="A193" s="155" t="s">
        <v>1767</v>
      </c>
      <c r="B193" s="154" t="s">
        <v>1768</v>
      </c>
    </row>
    <row r="194" spans="1:2">
      <c r="A194" s="155" t="s">
        <v>1769</v>
      </c>
      <c r="B194" s="154" t="s">
        <v>1770</v>
      </c>
    </row>
    <row r="195" spans="1:2">
      <c r="A195" s="155" t="s">
        <v>1771</v>
      </c>
      <c r="B195" s="154" t="s">
        <v>1772</v>
      </c>
    </row>
    <row r="196" spans="1:2">
      <c r="A196" s="155" t="s">
        <v>1773</v>
      </c>
      <c r="B196" s="154" t="s">
        <v>1774</v>
      </c>
    </row>
    <row r="197" spans="1:2">
      <c r="A197" s="155" t="s">
        <v>1775</v>
      </c>
      <c r="B197" s="154" t="s">
        <v>1776</v>
      </c>
    </row>
    <row r="198" spans="1:2">
      <c r="A198" s="155" t="s">
        <v>1777</v>
      </c>
      <c r="B198" s="154" t="s">
        <v>1778</v>
      </c>
    </row>
    <row r="199" spans="1:2">
      <c r="A199" s="155" t="s">
        <v>1779</v>
      </c>
      <c r="B199" s="154" t="s">
        <v>1780</v>
      </c>
    </row>
    <row r="200" spans="1:2">
      <c r="A200" s="155" t="s">
        <v>1781</v>
      </c>
      <c r="B200" s="154" t="s">
        <v>1782</v>
      </c>
    </row>
    <row r="201" spans="1:2">
      <c r="A201" s="155" t="s">
        <v>1783</v>
      </c>
      <c r="B201" s="154" t="s">
        <v>1784</v>
      </c>
    </row>
    <row r="202" spans="1:2">
      <c r="A202" s="155" t="s">
        <v>1785</v>
      </c>
      <c r="B202" s="154" t="s">
        <v>1786</v>
      </c>
    </row>
    <row r="203" spans="1:2">
      <c r="A203" s="155" t="s">
        <v>1787</v>
      </c>
      <c r="B203" s="154" t="s">
        <v>1788</v>
      </c>
    </row>
    <row r="204" spans="1:2">
      <c r="A204" s="155" t="s">
        <v>1789</v>
      </c>
      <c r="B204" s="154" t="s">
        <v>1790</v>
      </c>
    </row>
    <row r="205" spans="1:2">
      <c r="A205" s="155" t="s">
        <v>1791</v>
      </c>
      <c r="B205" s="154" t="s">
        <v>1792</v>
      </c>
    </row>
    <row r="206" spans="1:2">
      <c r="A206" s="155" t="s">
        <v>1793</v>
      </c>
      <c r="B206" s="154" t="s">
        <v>1794</v>
      </c>
    </row>
    <row r="207" spans="1:2">
      <c r="A207" s="155" t="s">
        <v>1795</v>
      </c>
      <c r="B207" s="154" t="s">
        <v>1796</v>
      </c>
    </row>
    <row r="208" spans="1:2">
      <c r="A208" s="155" t="s">
        <v>1797</v>
      </c>
      <c r="B208" s="154" t="s">
        <v>1798</v>
      </c>
    </row>
    <row r="209" spans="1:2">
      <c r="A209" s="155" t="s">
        <v>1799</v>
      </c>
      <c r="B209" s="154" t="s">
        <v>1800</v>
      </c>
    </row>
    <row r="210" spans="1:2">
      <c r="A210" s="155" t="s">
        <v>1801</v>
      </c>
      <c r="B210" s="154" t="s">
        <v>1802</v>
      </c>
    </row>
    <row r="211" spans="1:2">
      <c r="A211" s="155" t="s">
        <v>1803</v>
      </c>
      <c r="B211" s="154" t="s">
        <v>1804</v>
      </c>
    </row>
    <row r="212" spans="1:2">
      <c r="A212" s="155" t="s">
        <v>1805</v>
      </c>
      <c r="B212" s="154" t="s">
        <v>1806</v>
      </c>
    </row>
    <row r="213" spans="1:2">
      <c r="A213" s="155" t="s">
        <v>1807</v>
      </c>
      <c r="B213" s="154" t="s">
        <v>1808</v>
      </c>
    </row>
    <row r="214" spans="1:2">
      <c r="A214" s="155" t="s">
        <v>1809</v>
      </c>
      <c r="B214" s="154" t="s">
        <v>1810</v>
      </c>
    </row>
    <row r="215" spans="1:2">
      <c r="A215" s="155" t="s">
        <v>1811</v>
      </c>
      <c r="B215" s="154" t="s">
        <v>1812</v>
      </c>
    </row>
    <row r="216" spans="1:2">
      <c r="A216" s="155" t="s">
        <v>1813</v>
      </c>
      <c r="B216" s="154" t="s">
        <v>1814</v>
      </c>
    </row>
    <row r="217" spans="1:2">
      <c r="A217" s="155" t="s">
        <v>1815</v>
      </c>
      <c r="B217" s="154" t="s">
        <v>1816</v>
      </c>
    </row>
    <row r="218" spans="1:2">
      <c r="A218" s="155" t="s">
        <v>1817</v>
      </c>
      <c r="B218" s="154" t="s">
        <v>1818</v>
      </c>
    </row>
    <row r="219" spans="1:2">
      <c r="A219" s="155" t="s">
        <v>1819</v>
      </c>
      <c r="B219" s="154" t="s">
        <v>1820</v>
      </c>
    </row>
    <row r="220" spans="1:2">
      <c r="A220" s="155" t="s">
        <v>1821</v>
      </c>
      <c r="B220" s="154" t="s">
        <v>1822</v>
      </c>
    </row>
    <row r="221" spans="1:2">
      <c r="A221" s="150" t="s">
        <v>1089</v>
      </c>
      <c r="B221" s="151" t="s">
        <v>1090</v>
      </c>
    </row>
    <row r="222" spans="1:2">
      <c r="A222" s="155" t="s">
        <v>1823</v>
      </c>
      <c r="B222" s="154" t="s">
        <v>1824</v>
      </c>
    </row>
    <row r="223" spans="1:2">
      <c r="A223" s="155" t="s">
        <v>1825</v>
      </c>
      <c r="B223" s="154" t="s">
        <v>1826</v>
      </c>
    </row>
    <row r="224" spans="1:2">
      <c r="A224" s="155" t="s">
        <v>1827</v>
      </c>
      <c r="B224" s="154" t="s">
        <v>1828</v>
      </c>
    </row>
    <row r="225" spans="1:2">
      <c r="A225" s="155" t="s">
        <v>1829</v>
      </c>
      <c r="B225" s="154" t="s">
        <v>1830</v>
      </c>
    </row>
    <row r="226" spans="1:2">
      <c r="A226" s="155" t="s">
        <v>1831</v>
      </c>
      <c r="B226" s="154" t="s">
        <v>1832</v>
      </c>
    </row>
    <row r="227" spans="1:2">
      <c r="A227" s="155" t="s">
        <v>1833</v>
      </c>
      <c r="B227" s="154" t="s">
        <v>1834</v>
      </c>
    </row>
    <row r="228" spans="1:2">
      <c r="A228" s="155" t="s">
        <v>1835</v>
      </c>
      <c r="B228" s="154" t="s">
        <v>1836</v>
      </c>
    </row>
    <row r="229" spans="1:2">
      <c r="A229" s="155" t="s">
        <v>1837</v>
      </c>
      <c r="B229" s="154" t="s">
        <v>1838</v>
      </c>
    </row>
    <row r="230" spans="1:2">
      <c r="A230" s="155" t="s">
        <v>1839</v>
      </c>
      <c r="B230" s="154" t="s">
        <v>1840</v>
      </c>
    </row>
    <row r="231" spans="1:2">
      <c r="A231" s="155" t="s">
        <v>1841</v>
      </c>
      <c r="B231" s="154" t="s">
        <v>1842</v>
      </c>
    </row>
    <row r="232" spans="1:2">
      <c r="A232" s="155" t="s">
        <v>1843</v>
      </c>
      <c r="B232" s="154" t="s">
        <v>1844</v>
      </c>
    </row>
    <row r="233" spans="1:2">
      <c r="A233" s="155" t="s">
        <v>1845</v>
      </c>
      <c r="B233" s="154" t="s">
        <v>1846</v>
      </c>
    </row>
    <row r="234" spans="1:2">
      <c r="A234" s="155" t="s">
        <v>1847</v>
      </c>
      <c r="B234" s="154" t="s">
        <v>1848</v>
      </c>
    </row>
    <row r="235" spans="1:2">
      <c r="A235" s="155" t="s">
        <v>1849</v>
      </c>
      <c r="B235" s="154" t="s">
        <v>1850</v>
      </c>
    </row>
    <row r="236" spans="1:2">
      <c r="A236" s="155" t="s">
        <v>1851</v>
      </c>
      <c r="B236" s="154" t="s">
        <v>1852</v>
      </c>
    </row>
    <row r="237" spans="1:2">
      <c r="A237" s="155" t="s">
        <v>1853</v>
      </c>
      <c r="B237" s="154" t="s">
        <v>1854</v>
      </c>
    </row>
    <row r="238" spans="1:2">
      <c r="A238" s="155" t="s">
        <v>1855</v>
      </c>
      <c r="B238" s="154" t="s">
        <v>1856</v>
      </c>
    </row>
    <row r="239" spans="1:2">
      <c r="A239" s="155" t="s">
        <v>1857</v>
      </c>
      <c r="B239" s="154" t="s">
        <v>1858</v>
      </c>
    </row>
    <row r="240" spans="1:2">
      <c r="A240" s="150" t="s">
        <v>1091</v>
      </c>
      <c r="B240" s="151" t="s">
        <v>1092</v>
      </c>
    </row>
    <row r="241" spans="1:2">
      <c r="A241" s="155" t="s">
        <v>1859</v>
      </c>
      <c r="B241" s="154" t="s">
        <v>1860</v>
      </c>
    </row>
    <row r="242" spans="1:2">
      <c r="A242" s="155" t="s">
        <v>1861</v>
      </c>
      <c r="B242" s="154" t="s">
        <v>1862</v>
      </c>
    </row>
    <row r="243" spans="1:2">
      <c r="A243" s="155" t="s">
        <v>1863</v>
      </c>
      <c r="B243" s="154" t="s">
        <v>1864</v>
      </c>
    </row>
    <row r="244" spans="1:2">
      <c r="A244" s="155" t="s">
        <v>1865</v>
      </c>
      <c r="B244" s="154" t="s">
        <v>1866</v>
      </c>
    </row>
    <row r="245" spans="1:2">
      <c r="A245" s="155" t="s">
        <v>1867</v>
      </c>
      <c r="B245" s="154" t="s">
        <v>1868</v>
      </c>
    </row>
    <row r="246" spans="1:2">
      <c r="A246" s="155" t="s">
        <v>1869</v>
      </c>
      <c r="B246" s="154" t="s">
        <v>1870</v>
      </c>
    </row>
    <row r="247" spans="1:2">
      <c r="A247" s="155" t="s">
        <v>1871</v>
      </c>
      <c r="B247" s="154" t="s">
        <v>1872</v>
      </c>
    </row>
    <row r="248" spans="1:2">
      <c r="A248" s="155" t="s">
        <v>1873</v>
      </c>
      <c r="B248" s="154" t="s">
        <v>1874</v>
      </c>
    </row>
    <row r="249" spans="1:2">
      <c r="A249" s="155" t="s">
        <v>1875</v>
      </c>
      <c r="B249" s="154" t="s">
        <v>1876</v>
      </c>
    </row>
    <row r="250" spans="1:2">
      <c r="A250" s="155" t="s">
        <v>1877</v>
      </c>
      <c r="B250" s="154" t="s">
        <v>1878</v>
      </c>
    </row>
    <row r="251" spans="1:2">
      <c r="A251" s="155" t="s">
        <v>1879</v>
      </c>
      <c r="B251" s="154" t="s">
        <v>1880</v>
      </c>
    </row>
    <row r="252" spans="1:2">
      <c r="A252" s="155" t="s">
        <v>1881</v>
      </c>
      <c r="B252" s="154" t="s">
        <v>1882</v>
      </c>
    </row>
    <row r="253" spans="1:2">
      <c r="A253" s="155" t="s">
        <v>1883</v>
      </c>
      <c r="B253" s="154" t="s">
        <v>1884</v>
      </c>
    </row>
    <row r="254" spans="1:2">
      <c r="A254" s="155" t="s">
        <v>1885</v>
      </c>
      <c r="B254" s="154" t="s">
        <v>1886</v>
      </c>
    </row>
    <row r="255" spans="1:2">
      <c r="A255" s="155" t="s">
        <v>1887</v>
      </c>
      <c r="B255" s="154" t="s">
        <v>1888</v>
      </c>
    </row>
    <row r="256" spans="1:2">
      <c r="A256" s="155" t="s">
        <v>1889</v>
      </c>
      <c r="B256" s="154" t="s">
        <v>1890</v>
      </c>
    </row>
    <row r="257" spans="1:2">
      <c r="A257" s="155" t="s">
        <v>1891</v>
      </c>
      <c r="B257" s="154" t="s">
        <v>1892</v>
      </c>
    </row>
    <row r="258" spans="1:2">
      <c r="A258" s="155" t="s">
        <v>1893</v>
      </c>
      <c r="B258" s="154" t="s">
        <v>1894</v>
      </c>
    </row>
    <row r="259" spans="1:2">
      <c r="A259" s="155" t="s">
        <v>1895</v>
      </c>
      <c r="B259" s="154" t="s">
        <v>1896</v>
      </c>
    </row>
    <row r="260" spans="1:2">
      <c r="A260" s="155" t="s">
        <v>1897</v>
      </c>
      <c r="B260" s="154" t="s">
        <v>1898</v>
      </c>
    </row>
    <row r="261" spans="1:2">
      <c r="A261" s="155" t="s">
        <v>1899</v>
      </c>
      <c r="B261" s="154" t="s">
        <v>1900</v>
      </c>
    </row>
    <row r="262" spans="1:2">
      <c r="A262" s="150" t="s">
        <v>1093</v>
      </c>
      <c r="B262" s="151" t="s">
        <v>1094</v>
      </c>
    </row>
    <row r="263" spans="1:2">
      <c r="A263" s="155" t="s">
        <v>1901</v>
      </c>
      <c r="B263" s="154" t="s">
        <v>1902</v>
      </c>
    </row>
    <row r="264" spans="1:2">
      <c r="A264" s="155" t="s">
        <v>1903</v>
      </c>
      <c r="B264" s="154" t="s">
        <v>1904</v>
      </c>
    </row>
    <row r="265" spans="1:2">
      <c r="A265" s="155" t="s">
        <v>1905</v>
      </c>
      <c r="B265" s="154" t="s">
        <v>1906</v>
      </c>
    </row>
    <row r="266" spans="1:2">
      <c r="A266" s="155" t="s">
        <v>1907</v>
      </c>
      <c r="B266" s="154" t="s">
        <v>1908</v>
      </c>
    </row>
    <row r="267" spans="1:2">
      <c r="A267" s="155" t="s">
        <v>1909</v>
      </c>
      <c r="B267" s="154" t="s">
        <v>1910</v>
      </c>
    </row>
    <row r="268" spans="1:2">
      <c r="A268" s="155" t="s">
        <v>1911</v>
      </c>
      <c r="B268" s="154" t="s">
        <v>1912</v>
      </c>
    </row>
    <row r="269" spans="1:2">
      <c r="A269" s="155" t="s">
        <v>1913</v>
      </c>
      <c r="B269" s="154" t="s">
        <v>1914</v>
      </c>
    </row>
    <row r="270" spans="1:2">
      <c r="A270" s="155" t="s">
        <v>1915</v>
      </c>
      <c r="B270" s="154" t="s">
        <v>1916</v>
      </c>
    </row>
    <row r="271" spans="1:2">
      <c r="A271" s="155" t="s">
        <v>1917</v>
      </c>
      <c r="B271" s="154" t="s">
        <v>1918</v>
      </c>
    </row>
    <row r="272" spans="1:2">
      <c r="A272" s="155" t="s">
        <v>1919</v>
      </c>
      <c r="B272" s="154" t="s">
        <v>1920</v>
      </c>
    </row>
    <row r="273" spans="1:2">
      <c r="A273" s="155" t="s">
        <v>1921</v>
      </c>
      <c r="B273" s="154" t="s">
        <v>1922</v>
      </c>
    </row>
    <row r="274" spans="1:2">
      <c r="A274" s="155" t="s">
        <v>1923</v>
      </c>
      <c r="B274" s="154" t="s">
        <v>1924</v>
      </c>
    </row>
    <row r="275" spans="1:2">
      <c r="A275" s="155" t="s">
        <v>1925</v>
      </c>
      <c r="B275" s="154" t="s">
        <v>1926</v>
      </c>
    </row>
    <row r="276" spans="1:2">
      <c r="A276" s="155" t="s">
        <v>1927</v>
      </c>
      <c r="B276" s="154" t="s">
        <v>1928</v>
      </c>
    </row>
    <row r="277" spans="1:2">
      <c r="A277" s="155" t="s">
        <v>1929</v>
      </c>
      <c r="B277" s="154" t="s">
        <v>1930</v>
      </c>
    </row>
    <row r="278" spans="1:2">
      <c r="A278" s="155" t="s">
        <v>1931</v>
      </c>
      <c r="B278" s="154" t="s">
        <v>1932</v>
      </c>
    </row>
    <row r="279" spans="1:2">
      <c r="A279" s="155" t="s">
        <v>1933</v>
      </c>
      <c r="B279" s="154" t="s">
        <v>1934</v>
      </c>
    </row>
    <row r="280" spans="1:2">
      <c r="A280" s="155" t="s">
        <v>1935</v>
      </c>
      <c r="B280" s="154" t="s">
        <v>1936</v>
      </c>
    </row>
    <row r="281" spans="1:2">
      <c r="A281" s="155" t="s">
        <v>1937</v>
      </c>
      <c r="B281" s="154" t="s">
        <v>1930</v>
      </c>
    </row>
    <row r="282" spans="1:2">
      <c r="A282" s="155" t="s">
        <v>1938</v>
      </c>
      <c r="B282" s="154" t="s">
        <v>1939</v>
      </c>
    </row>
    <row r="283" spans="1:2">
      <c r="A283" s="155" t="s">
        <v>1940</v>
      </c>
      <c r="B283" s="154" t="s">
        <v>1941</v>
      </c>
    </row>
    <row r="284" spans="1:2">
      <c r="A284" s="155" t="s">
        <v>1942</v>
      </c>
      <c r="B284" s="154" t="s">
        <v>1943</v>
      </c>
    </row>
    <row r="285" spans="1:2">
      <c r="A285" s="155" t="s">
        <v>1944</v>
      </c>
      <c r="B285" s="154" t="s">
        <v>1945</v>
      </c>
    </row>
    <row r="286" spans="1:2">
      <c r="A286" s="150" t="s">
        <v>1095</v>
      </c>
      <c r="B286" s="151" t="s">
        <v>1096</v>
      </c>
    </row>
    <row r="287" spans="1:2">
      <c r="A287" s="155" t="s">
        <v>1946</v>
      </c>
      <c r="B287" s="154" t="s">
        <v>1947</v>
      </c>
    </row>
    <row r="288" spans="1:2">
      <c r="A288" s="155" t="s">
        <v>1948</v>
      </c>
      <c r="B288" s="154" t="s">
        <v>1949</v>
      </c>
    </row>
    <row r="289" spans="1:2">
      <c r="A289" s="155" t="s">
        <v>1950</v>
      </c>
      <c r="B289" s="154" t="s">
        <v>1951</v>
      </c>
    </row>
    <row r="290" spans="1:2">
      <c r="A290" s="155" t="s">
        <v>1952</v>
      </c>
      <c r="B290" s="154" t="s">
        <v>1953</v>
      </c>
    </row>
    <row r="291" spans="1:2">
      <c r="A291" s="155" t="s">
        <v>1954</v>
      </c>
      <c r="B291" s="154" t="s">
        <v>1955</v>
      </c>
    </row>
    <row r="292" spans="1:2">
      <c r="A292" s="155" t="s">
        <v>1956</v>
      </c>
      <c r="B292" s="154" t="s">
        <v>1957</v>
      </c>
    </row>
    <row r="293" spans="1:2">
      <c r="A293" s="155" t="s">
        <v>1958</v>
      </c>
      <c r="B293" s="154" t="s">
        <v>1959</v>
      </c>
    </row>
    <row r="294" spans="1:2">
      <c r="A294" s="155" t="s">
        <v>1960</v>
      </c>
      <c r="B294" s="154" t="s">
        <v>1961</v>
      </c>
    </row>
    <row r="295" spans="1:2">
      <c r="A295" s="155" t="s">
        <v>1962</v>
      </c>
      <c r="B295" s="154" t="s">
        <v>1963</v>
      </c>
    </row>
    <row r="296" spans="1:2">
      <c r="A296" s="155" t="s">
        <v>1964</v>
      </c>
      <c r="B296" s="154" t="s">
        <v>1965</v>
      </c>
    </row>
    <row r="297" spans="1:2">
      <c r="A297" s="155" t="s">
        <v>1966</v>
      </c>
      <c r="B297" s="154" t="s">
        <v>1967</v>
      </c>
    </row>
    <row r="298" spans="1:2">
      <c r="A298" s="155" t="s">
        <v>1968</v>
      </c>
      <c r="B298" s="154" t="s">
        <v>1969</v>
      </c>
    </row>
    <row r="299" spans="1:2">
      <c r="A299" s="155" t="s">
        <v>1970</v>
      </c>
      <c r="B299" s="154" t="s">
        <v>1971</v>
      </c>
    </row>
    <row r="300" spans="1:2">
      <c r="A300" s="155" t="s">
        <v>1972</v>
      </c>
      <c r="B300" s="154" t="s">
        <v>1973</v>
      </c>
    </row>
    <row r="301" spans="1:2">
      <c r="A301" s="155" t="s">
        <v>1974</v>
      </c>
      <c r="B301" s="154" t="s">
        <v>1434</v>
      </c>
    </row>
    <row r="302" spans="1:2">
      <c r="A302" s="150" t="s">
        <v>1097</v>
      </c>
      <c r="B302" s="151" t="s">
        <v>1098</v>
      </c>
    </row>
    <row r="303" spans="1:2">
      <c r="A303" s="155" t="s">
        <v>1975</v>
      </c>
      <c r="B303" s="154" t="s">
        <v>1976</v>
      </c>
    </row>
    <row r="304" spans="1:2">
      <c r="A304" s="155" t="s">
        <v>1977</v>
      </c>
      <c r="B304" s="154" t="s">
        <v>1978</v>
      </c>
    </row>
    <row r="305" spans="1:2">
      <c r="A305" s="155" t="s">
        <v>1979</v>
      </c>
      <c r="B305" s="154" t="s">
        <v>1980</v>
      </c>
    </row>
    <row r="306" spans="1:2">
      <c r="A306" s="155" t="s">
        <v>1981</v>
      </c>
      <c r="B306" s="154" t="s">
        <v>1982</v>
      </c>
    </row>
    <row r="307" spans="1:2">
      <c r="A307" s="155" t="s">
        <v>1983</v>
      </c>
      <c r="B307" s="154" t="s">
        <v>1984</v>
      </c>
    </row>
    <row r="308" spans="1:2">
      <c r="A308" s="155" t="s">
        <v>1985</v>
      </c>
      <c r="B308" s="154" t="s">
        <v>1986</v>
      </c>
    </row>
    <row r="309" spans="1:2">
      <c r="A309" s="155" t="s">
        <v>1987</v>
      </c>
      <c r="B309" s="154" t="s">
        <v>1988</v>
      </c>
    </row>
    <row r="310" spans="1:2">
      <c r="A310" s="155" t="s">
        <v>1989</v>
      </c>
      <c r="B310" s="154" t="s">
        <v>1990</v>
      </c>
    </row>
    <row r="311" spans="1:2">
      <c r="A311" s="155" t="s">
        <v>1991</v>
      </c>
      <c r="B311" s="154" t="s">
        <v>1992</v>
      </c>
    </row>
    <row r="312" spans="1:2">
      <c r="A312" s="155" t="s">
        <v>1993</v>
      </c>
      <c r="B312" s="154" t="s">
        <v>1994</v>
      </c>
    </row>
    <row r="313" spans="1:2">
      <c r="A313" s="155" t="s">
        <v>1995</v>
      </c>
      <c r="B313" s="154" t="s">
        <v>1996</v>
      </c>
    </row>
    <row r="314" spans="1:2">
      <c r="A314" s="155" t="s">
        <v>1997</v>
      </c>
      <c r="B314" s="154" t="s">
        <v>1998</v>
      </c>
    </row>
    <row r="315" spans="1:2">
      <c r="A315" s="155" t="s">
        <v>1999</v>
      </c>
      <c r="B315" s="154" t="s">
        <v>2000</v>
      </c>
    </row>
    <row r="316" spans="1:2">
      <c r="A316" s="155" t="s">
        <v>2001</v>
      </c>
      <c r="B316" s="154" t="s">
        <v>2002</v>
      </c>
    </row>
    <row r="317" spans="1:2">
      <c r="A317" s="155" t="s">
        <v>2003</v>
      </c>
      <c r="B317" s="154" t="s">
        <v>2004</v>
      </c>
    </row>
    <row r="318" spans="1:2">
      <c r="A318" s="155" t="s">
        <v>2005</v>
      </c>
      <c r="B318" s="154" t="s">
        <v>2006</v>
      </c>
    </row>
    <row r="319" spans="1:2">
      <c r="A319" s="155" t="s">
        <v>2007</v>
      </c>
      <c r="B319" s="154" t="s">
        <v>2008</v>
      </c>
    </row>
    <row r="320" spans="1:2">
      <c r="A320" s="155" t="s">
        <v>2009</v>
      </c>
      <c r="B320" s="154" t="s">
        <v>2010</v>
      </c>
    </row>
    <row r="321" spans="1:2">
      <c r="A321" s="155" t="s">
        <v>2011</v>
      </c>
      <c r="B321" s="154" t="s">
        <v>2012</v>
      </c>
    </row>
    <row r="322" spans="1:2">
      <c r="A322" s="155" t="s">
        <v>2013</v>
      </c>
      <c r="B322" s="154" t="s">
        <v>2014</v>
      </c>
    </row>
    <row r="323" spans="1:2">
      <c r="A323" s="155" t="s">
        <v>2015</v>
      </c>
      <c r="B323" s="154" t="s">
        <v>2016</v>
      </c>
    </row>
    <row r="324" spans="1:2">
      <c r="A324" s="155" t="s">
        <v>2017</v>
      </c>
      <c r="B324" s="154" t="s">
        <v>2016</v>
      </c>
    </row>
    <row r="325" spans="1:2">
      <c r="A325" s="155" t="s">
        <v>2018</v>
      </c>
      <c r="B325" s="154" t="s">
        <v>2019</v>
      </c>
    </row>
    <row r="326" spans="1:2">
      <c r="A326" s="155" t="s">
        <v>2020</v>
      </c>
      <c r="B326" s="154" t="s">
        <v>2019</v>
      </c>
    </row>
    <row r="327" spans="1:2">
      <c r="A327" s="155" t="s">
        <v>2021</v>
      </c>
      <c r="B327" s="154" t="s">
        <v>2022</v>
      </c>
    </row>
    <row r="328" spans="1:2">
      <c r="A328" s="155" t="s">
        <v>2023</v>
      </c>
      <c r="B328" s="154" t="s">
        <v>2024</v>
      </c>
    </row>
    <row r="329" spans="1:2">
      <c r="A329" s="155" t="s">
        <v>2025</v>
      </c>
      <c r="B329" s="154" t="s">
        <v>2026</v>
      </c>
    </row>
    <row r="330" spans="1:2">
      <c r="A330" s="155" t="s">
        <v>2027</v>
      </c>
      <c r="B330" s="154" t="s">
        <v>2028</v>
      </c>
    </row>
    <row r="331" spans="1:2">
      <c r="A331" s="155" t="s">
        <v>2029</v>
      </c>
      <c r="B331" s="154" t="s">
        <v>2030</v>
      </c>
    </row>
    <row r="332" spans="1:2">
      <c r="A332" s="155" t="s">
        <v>2031</v>
      </c>
      <c r="B332" s="154" t="s">
        <v>2032</v>
      </c>
    </row>
    <row r="333" spans="1:2">
      <c r="A333" s="155" t="s">
        <v>2033</v>
      </c>
      <c r="B333" s="154" t="s">
        <v>2034</v>
      </c>
    </row>
    <row r="334" spans="1:2">
      <c r="A334" s="155" t="s">
        <v>2035</v>
      </c>
      <c r="B334" s="154" t="s">
        <v>2036</v>
      </c>
    </row>
    <row r="335" spans="1:2">
      <c r="A335" s="155" t="s">
        <v>2037</v>
      </c>
      <c r="B335" s="154" t="s">
        <v>2038</v>
      </c>
    </row>
    <row r="336" spans="1:2">
      <c r="A336" s="155" t="s">
        <v>2039</v>
      </c>
      <c r="B336" s="154" t="s">
        <v>2040</v>
      </c>
    </row>
    <row r="337" spans="1:2">
      <c r="A337" s="155" t="s">
        <v>2041</v>
      </c>
      <c r="B337" s="154" t="s">
        <v>2042</v>
      </c>
    </row>
    <row r="338" spans="1:2">
      <c r="A338" s="155" t="s">
        <v>2043</v>
      </c>
      <c r="B338" s="154" t="s">
        <v>2044</v>
      </c>
    </row>
    <row r="339" spans="1:2">
      <c r="A339" s="155" t="s">
        <v>2045</v>
      </c>
      <c r="B339" s="154" t="s">
        <v>2046</v>
      </c>
    </row>
    <row r="340" spans="1:2">
      <c r="A340" s="155" t="s">
        <v>2047</v>
      </c>
      <c r="B340" s="154" t="s">
        <v>2048</v>
      </c>
    </row>
    <row r="341" spans="1:2">
      <c r="A341" s="155" t="s">
        <v>2049</v>
      </c>
      <c r="B341" s="154" t="s">
        <v>2050</v>
      </c>
    </row>
    <row r="342" spans="1:2">
      <c r="A342" s="155" t="s">
        <v>2051</v>
      </c>
      <c r="B342" s="154" t="s">
        <v>2052</v>
      </c>
    </row>
    <row r="343" spans="1:2">
      <c r="A343" s="155" t="s">
        <v>2053</v>
      </c>
      <c r="B343" s="154" t="s">
        <v>2054</v>
      </c>
    </row>
    <row r="344" spans="1:2">
      <c r="A344" s="155" t="s">
        <v>2055</v>
      </c>
      <c r="B344" s="154" t="s">
        <v>2056</v>
      </c>
    </row>
    <row r="345" spans="1:2">
      <c r="A345" s="155" t="s">
        <v>2057</v>
      </c>
      <c r="B345" s="154" t="s">
        <v>2058</v>
      </c>
    </row>
    <row r="346" spans="1:2">
      <c r="A346" s="155" t="s">
        <v>2059</v>
      </c>
      <c r="B346" s="154" t="s">
        <v>2060</v>
      </c>
    </row>
    <row r="347" spans="1:2">
      <c r="A347" s="155" t="s">
        <v>2061</v>
      </c>
      <c r="B347" s="154" t="s">
        <v>2062</v>
      </c>
    </row>
    <row r="348" spans="1:2">
      <c r="A348" s="155" t="s">
        <v>2063</v>
      </c>
      <c r="B348" s="154" t="s">
        <v>2064</v>
      </c>
    </row>
    <row r="349" spans="1:2">
      <c r="A349" s="155" t="s">
        <v>2065</v>
      </c>
      <c r="B349" s="154" t="s">
        <v>2066</v>
      </c>
    </row>
    <row r="350" spans="1:2">
      <c r="A350" s="155" t="s">
        <v>2067</v>
      </c>
      <c r="B350" s="154" t="s">
        <v>2068</v>
      </c>
    </row>
    <row r="351" spans="1:2">
      <c r="A351" s="155" t="s">
        <v>2069</v>
      </c>
      <c r="B351" s="154" t="s">
        <v>2070</v>
      </c>
    </row>
    <row r="352" spans="1:2">
      <c r="A352" s="155" t="s">
        <v>2071</v>
      </c>
      <c r="B352" s="154" t="s">
        <v>2072</v>
      </c>
    </row>
    <row r="353" spans="1:2">
      <c r="A353" s="155" t="s">
        <v>2073</v>
      </c>
      <c r="B353" s="154" t="s">
        <v>2074</v>
      </c>
    </row>
    <row r="354" spans="1:2">
      <c r="A354" s="155" t="s">
        <v>2075</v>
      </c>
      <c r="B354" s="154" t="s">
        <v>2076</v>
      </c>
    </row>
    <row r="355" spans="1:2">
      <c r="A355" s="155" t="s">
        <v>2077</v>
      </c>
      <c r="B355" s="154" t="s">
        <v>2078</v>
      </c>
    </row>
    <row r="356" spans="1:2">
      <c r="A356" s="155" t="s">
        <v>2079</v>
      </c>
      <c r="B356" s="154" t="s">
        <v>2080</v>
      </c>
    </row>
    <row r="357" spans="1:2">
      <c r="A357" s="155" t="s">
        <v>2081</v>
      </c>
      <c r="B357" s="154" t="s">
        <v>2082</v>
      </c>
    </row>
    <row r="358" spans="1:2">
      <c r="A358" s="155" t="s">
        <v>2083</v>
      </c>
      <c r="B358" s="154" t="s">
        <v>2084</v>
      </c>
    </row>
    <row r="359" spans="1:2">
      <c r="A359" s="155" t="s">
        <v>2085</v>
      </c>
      <c r="B359" s="154" t="s">
        <v>2086</v>
      </c>
    </row>
    <row r="360" spans="1:2">
      <c r="A360" s="155" t="s">
        <v>2087</v>
      </c>
      <c r="B360" s="154" t="s">
        <v>2088</v>
      </c>
    </row>
    <row r="361" spans="1:2">
      <c r="A361" s="155" t="s">
        <v>2089</v>
      </c>
      <c r="B361" s="154" t="s">
        <v>2090</v>
      </c>
    </row>
    <row r="362" spans="1:2">
      <c r="A362" s="155" t="s">
        <v>2091</v>
      </c>
      <c r="B362" s="154" t="s">
        <v>2092</v>
      </c>
    </row>
    <row r="363" spans="1:2">
      <c r="A363" s="155" t="s">
        <v>2093</v>
      </c>
      <c r="B363" s="154" t="s">
        <v>2094</v>
      </c>
    </row>
    <row r="364" spans="1:2">
      <c r="A364" s="155" t="s">
        <v>2095</v>
      </c>
      <c r="B364" s="154" t="s">
        <v>2096</v>
      </c>
    </row>
    <row r="365" spans="1:2">
      <c r="A365" s="155" t="s">
        <v>2097</v>
      </c>
      <c r="B365" s="154" t="s">
        <v>2098</v>
      </c>
    </row>
    <row r="366" spans="1:2">
      <c r="A366" s="155" t="s">
        <v>2099</v>
      </c>
      <c r="B366" s="154" t="s">
        <v>2100</v>
      </c>
    </row>
    <row r="367" spans="1:2">
      <c r="A367" s="155" t="s">
        <v>2101</v>
      </c>
      <c r="B367" s="154" t="s">
        <v>2102</v>
      </c>
    </row>
    <row r="368" spans="1:2">
      <c r="A368" s="155" t="s">
        <v>2103</v>
      </c>
      <c r="B368" s="154" t="s">
        <v>2104</v>
      </c>
    </row>
    <row r="369" spans="1:2">
      <c r="A369" s="155" t="s">
        <v>2105</v>
      </c>
      <c r="B369" s="154" t="s">
        <v>2106</v>
      </c>
    </row>
    <row r="370" spans="1:2">
      <c r="A370" s="155" t="s">
        <v>2107</v>
      </c>
      <c r="B370" s="154" t="s">
        <v>2108</v>
      </c>
    </row>
    <row r="371" spans="1:2">
      <c r="A371" s="155" t="s">
        <v>2109</v>
      </c>
      <c r="B371" s="154" t="s">
        <v>2110</v>
      </c>
    </row>
    <row r="372" spans="1:2">
      <c r="A372" s="155" t="s">
        <v>2111</v>
      </c>
      <c r="B372" s="154" t="s">
        <v>2112</v>
      </c>
    </row>
    <row r="373" spans="1:2">
      <c r="A373" s="155" t="s">
        <v>2113</v>
      </c>
      <c r="B373" s="154" t="s">
        <v>2114</v>
      </c>
    </row>
    <row r="374" spans="1:2">
      <c r="A374" s="155" t="s">
        <v>2115</v>
      </c>
      <c r="B374" s="154" t="s">
        <v>2116</v>
      </c>
    </row>
    <row r="375" spans="1:2">
      <c r="A375" s="155" t="s">
        <v>2117</v>
      </c>
      <c r="B375" s="154" t="s">
        <v>2118</v>
      </c>
    </row>
    <row r="376" spans="1:2">
      <c r="A376" s="155" t="s">
        <v>2119</v>
      </c>
      <c r="B376" s="154" t="s">
        <v>2120</v>
      </c>
    </row>
    <row r="377" spans="1:2">
      <c r="A377" s="155" t="s">
        <v>2121</v>
      </c>
      <c r="B377" s="154" t="s">
        <v>2122</v>
      </c>
    </row>
    <row r="378" spans="1:2">
      <c r="A378" s="155" t="s">
        <v>2123</v>
      </c>
      <c r="B378" s="154" t="s">
        <v>2124</v>
      </c>
    </row>
    <row r="379" spans="1:2">
      <c r="A379" s="155" t="s">
        <v>2125</v>
      </c>
      <c r="B379" s="154" t="s">
        <v>2126</v>
      </c>
    </row>
    <row r="380" spans="1:2">
      <c r="A380" s="155" t="s">
        <v>2127</v>
      </c>
      <c r="B380" s="154" t="s">
        <v>2128</v>
      </c>
    </row>
    <row r="381" spans="1:2">
      <c r="A381" s="155" t="s">
        <v>2129</v>
      </c>
      <c r="B381" s="154" t="s">
        <v>2130</v>
      </c>
    </row>
    <row r="382" spans="1:2">
      <c r="A382" s="155" t="s">
        <v>2131</v>
      </c>
      <c r="B382" s="154" t="s">
        <v>2132</v>
      </c>
    </row>
    <row r="383" spans="1:2">
      <c r="A383" s="155" t="s">
        <v>2133</v>
      </c>
      <c r="B383" s="154" t="s">
        <v>2134</v>
      </c>
    </row>
    <row r="384" spans="1:2">
      <c r="A384" s="155" t="s">
        <v>2135</v>
      </c>
      <c r="B384" s="154" t="s">
        <v>2136</v>
      </c>
    </row>
    <row r="385" spans="1:2">
      <c r="A385" s="155" t="s">
        <v>2137</v>
      </c>
      <c r="B385" s="154" t="s">
        <v>2138</v>
      </c>
    </row>
    <row r="386" spans="1:2">
      <c r="A386" s="155" t="s">
        <v>2139</v>
      </c>
      <c r="B386" s="154" t="s">
        <v>2140</v>
      </c>
    </row>
    <row r="387" spans="1:2">
      <c r="A387" s="155" t="s">
        <v>2141</v>
      </c>
      <c r="B387" s="154" t="s">
        <v>1432</v>
      </c>
    </row>
    <row r="388" spans="1:2">
      <c r="A388" s="155" t="s">
        <v>2142</v>
      </c>
      <c r="B388" s="154" t="s">
        <v>1441</v>
      </c>
    </row>
    <row r="389" spans="1:2">
      <c r="A389" s="155" t="s">
        <v>2143</v>
      </c>
      <c r="B389" s="154" t="s">
        <v>2144</v>
      </c>
    </row>
    <row r="390" spans="1:2">
      <c r="A390" s="155" t="s">
        <v>2145</v>
      </c>
      <c r="B390" s="154" t="s">
        <v>2146</v>
      </c>
    </row>
    <row r="391" spans="1:2">
      <c r="A391" s="155" t="s">
        <v>2147</v>
      </c>
      <c r="B391" s="154" t="s">
        <v>2148</v>
      </c>
    </row>
    <row r="392" spans="1:2">
      <c r="A392" s="155" t="s">
        <v>2149</v>
      </c>
      <c r="B392" s="154" t="s">
        <v>2150</v>
      </c>
    </row>
    <row r="393" spans="1:2">
      <c r="A393" s="155" t="s">
        <v>2151</v>
      </c>
      <c r="B393" s="154" t="s">
        <v>2152</v>
      </c>
    </row>
    <row r="394" spans="1:2">
      <c r="A394" s="155" t="s">
        <v>2153</v>
      </c>
      <c r="B394" s="154" t="s">
        <v>2154</v>
      </c>
    </row>
    <row r="395" spans="1:2">
      <c r="A395" s="155" t="s">
        <v>2155</v>
      </c>
      <c r="B395" s="154" t="s">
        <v>2156</v>
      </c>
    </row>
    <row r="396" spans="1:2">
      <c r="A396" s="155" t="s">
        <v>2157</v>
      </c>
      <c r="B396" s="154" t="s">
        <v>2158</v>
      </c>
    </row>
    <row r="397" spans="1:2">
      <c r="A397" s="155" t="s">
        <v>2159</v>
      </c>
      <c r="B397" s="154" t="s">
        <v>2160</v>
      </c>
    </row>
    <row r="398" spans="1:2">
      <c r="A398" s="155" t="s">
        <v>2161</v>
      </c>
      <c r="B398" s="154" t="s">
        <v>2162</v>
      </c>
    </row>
    <row r="399" spans="1:2">
      <c r="A399" s="155" t="s">
        <v>2163</v>
      </c>
      <c r="B399" s="154" t="s">
        <v>2164</v>
      </c>
    </row>
    <row r="400" spans="1:2">
      <c r="A400" s="155" t="s">
        <v>2165</v>
      </c>
      <c r="B400" s="154" t="s">
        <v>2166</v>
      </c>
    </row>
    <row r="401" spans="1:2">
      <c r="A401" s="155" t="s">
        <v>2167</v>
      </c>
      <c r="B401" s="154" t="s">
        <v>2168</v>
      </c>
    </row>
    <row r="402" spans="1:2">
      <c r="A402" s="155" t="s">
        <v>2169</v>
      </c>
      <c r="B402" s="154" t="s">
        <v>2170</v>
      </c>
    </row>
    <row r="403" spans="1:2">
      <c r="A403" s="155" t="s">
        <v>2171</v>
      </c>
      <c r="B403" s="154" t="s">
        <v>2172</v>
      </c>
    </row>
    <row r="404" spans="1:2">
      <c r="A404" s="155" t="s">
        <v>2173</v>
      </c>
      <c r="B404" s="154" t="s">
        <v>2174</v>
      </c>
    </row>
    <row r="405" spans="1:2">
      <c r="A405" s="155" t="s">
        <v>2175</v>
      </c>
      <c r="B405" s="154" t="s">
        <v>2176</v>
      </c>
    </row>
    <row r="406" spans="1:2">
      <c r="A406" s="155" t="s">
        <v>2177</v>
      </c>
      <c r="B406" s="154" t="s">
        <v>2178</v>
      </c>
    </row>
    <row r="407" spans="1:2">
      <c r="A407" s="155" t="s">
        <v>2179</v>
      </c>
      <c r="B407" s="154" t="s">
        <v>2180</v>
      </c>
    </row>
    <row r="408" spans="1:2">
      <c r="A408" s="155" t="s">
        <v>2181</v>
      </c>
      <c r="B408" s="154" t="s">
        <v>2182</v>
      </c>
    </row>
    <row r="409" spans="1:2">
      <c r="A409" s="155" t="s">
        <v>2183</v>
      </c>
      <c r="B409" s="154" t="s">
        <v>2184</v>
      </c>
    </row>
    <row r="410" spans="1:2">
      <c r="A410" s="155" t="s">
        <v>2185</v>
      </c>
      <c r="B410" s="154" t="s">
        <v>2186</v>
      </c>
    </row>
    <row r="411" spans="1:2">
      <c r="A411" s="155" t="s">
        <v>2187</v>
      </c>
      <c r="B411" s="154" t="s">
        <v>2188</v>
      </c>
    </row>
    <row r="412" spans="1:2">
      <c r="A412" s="155" t="s">
        <v>2189</v>
      </c>
      <c r="B412" s="154" t="s">
        <v>2190</v>
      </c>
    </row>
    <row r="413" spans="1:2">
      <c r="A413" s="155" t="s">
        <v>2191</v>
      </c>
      <c r="B413" s="154" t="s">
        <v>2192</v>
      </c>
    </row>
    <row r="414" spans="1:2">
      <c r="A414" s="155" t="s">
        <v>2193</v>
      </c>
      <c r="B414" s="154" t="s">
        <v>2194</v>
      </c>
    </row>
    <row r="415" spans="1:2">
      <c r="A415" s="155" t="s">
        <v>2195</v>
      </c>
      <c r="B415" s="154" t="s">
        <v>2196</v>
      </c>
    </row>
    <row r="416" spans="1:2">
      <c r="A416" s="155" t="s">
        <v>2197</v>
      </c>
      <c r="B416" s="154" t="s">
        <v>2198</v>
      </c>
    </row>
    <row r="417" spans="1:2">
      <c r="A417" s="155" t="s">
        <v>2199</v>
      </c>
      <c r="B417" s="154" t="s">
        <v>2200</v>
      </c>
    </row>
    <row r="418" spans="1:2">
      <c r="A418" s="155" t="s">
        <v>2201</v>
      </c>
      <c r="B418" s="154" t="s">
        <v>2202</v>
      </c>
    </row>
    <row r="419" spans="1:2">
      <c r="A419" s="155" t="s">
        <v>2203</v>
      </c>
      <c r="B419" s="154" t="s">
        <v>2204</v>
      </c>
    </row>
    <row r="420" spans="1:2">
      <c r="A420" s="155" t="s">
        <v>2205</v>
      </c>
      <c r="B420" s="154" t="s">
        <v>2206</v>
      </c>
    </row>
    <row r="421" spans="1:2">
      <c r="A421" s="155" t="s">
        <v>2207</v>
      </c>
      <c r="B421" s="154" t="s">
        <v>2208</v>
      </c>
    </row>
    <row r="422" spans="1:2">
      <c r="A422" s="155" t="s">
        <v>2209</v>
      </c>
      <c r="B422" s="154" t="s">
        <v>2210</v>
      </c>
    </row>
    <row r="423" spans="1:2">
      <c r="A423" s="150" t="s">
        <v>1099</v>
      </c>
      <c r="B423" s="151" t="s">
        <v>1100</v>
      </c>
    </row>
    <row r="424" spans="1:2">
      <c r="A424" s="155" t="s">
        <v>2211</v>
      </c>
      <c r="B424" s="154" t="s">
        <v>2212</v>
      </c>
    </row>
    <row r="425" spans="1:2">
      <c r="A425" s="155" t="s">
        <v>2213</v>
      </c>
      <c r="B425" s="154" t="s">
        <v>2214</v>
      </c>
    </row>
    <row r="426" spans="1:2">
      <c r="A426" s="155" t="s">
        <v>2215</v>
      </c>
      <c r="B426" s="154" t="s">
        <v>2216</v>
      </c>
    </row>
    <row r="427" spans="1:2">
      <c r="A427" s="155" t="s">
        <v>2217</v>
      </c>
      <c r="B427" s="154" t="s">
        <v>2218</v>
      </c>
    </row>
    <row r="428" spans="1:2">
      <c r="A428" s="155" t="s">
        <v>2219</v>
      </c>
      <c r="B428" s="154" t="s">
        <v>2220</v>
      </c>
    </row>
    <row r="429" spans="1:2">
      <c r="A429" s="155" t="s">
        <v>2221</v>
      </c>
      <c r="B429" s="154" t="s">
        <v>2222</v>
      </c>
    </row>
    <row r="430" spans="1:2">
      <c r="A430" s="155" t="s">
        <v>2223</v>
      </c>
      <c r="B430" s="154" t="s">
        <v>2224</v>
      </c>
    </row>
    <row r="431" spans="1:2">
      <c r="A431" s="155" t="s">
        <v>2225</v>
      </c>
      <c r="B431" s="154" t="s">
        <v>2226</v>
      </c>
    </row>
    <row r="432" spans="1:2">
      <c r="A432" s="155" t="s">
        <v>2227</v>
      </c>
      <c r="B432" s="154" t="s">
        <v>2228</v>
      </c>
    </row>
    <row r="433" spans="1:2">
      <c r="A433" s="155" t="s">
        <v>2229</v>
      </c>
      <c r="B433" s="154" t="s">
        <v>2230</v>
      </c>
    </row>
    <row r="434" spans="1:2">
      <c r="A434" s="155" t="s">
        <v>2231</v>
      </c>
      <c r="B434" s="154" t="s">
        <v>2232</v>
      </c>
    </row>
    <row r="435" spans="1:2">
      <c r="A435" s="155" t="s">
        <v>2233</v>
      </c>
      <c r="B435" s="154" t="s">
        <v>2234</v>
      </c>
    </row>
    <row r="436" spans="1:2">
      <c r="A436" s="155" t="s">
        <v>2235</v>
      </c>
      <c r="B436" s="154" t="s">
        <v>2236</v>
      </c>
    </row>
    <row r="437" spans="1:2">
      <c r="A437" s="155" t="s">
        <v>2237</v>
      </c>
      <c r="B437" s="154" t="s">
        <v>2238</v>
      </c>
    </row>
    <row r="438" spans="1:2">
      <c r="A438" s="155" t="s">
        <v>2239</v>
      </c>
      <c r="B438" s="154" t="s">
        <v>2240</v>
      </c>
    </row>
    <row r="439" spans="1:2">
      <c r="A439" s="155" t="s">
        <v>2241</v>
      </c>
      <c r="B439" s="154" t="s">
        <v>2242</v>
      </c>
    </row>
    <row r="440" spans="1:2">
      <c r="A440" s="155" t="s">
        <v>2243</v>
      </c>
      <c r="B440" s="154" t="s">
        <v>2244</v>
      </c>
    </row>
    <row r="441" spans="1:2">
      <c r="A441" s="155" t="s">
        <v>2245</v>
      </c>
      <c r="B441" s="154" t="s">
        <v>2246</v>
      </c>
    </row>
    <row r="442" spans="1:2">
      <c r="A442" s="155" t="s">
        <v>2247</v>
      </c>
      <c r="B442" s="154" t="s">
        <v>2248</v>
      </c>
    </row>
    <row r="443" spans="1:2">
      <c r="A443" s="155" t="s">
        <v>2249</v>
      </c>
      <c r="B443" s="154" t="s">
        <v>2250</v>
      </c>
    </row>
    <row r="444" spans="1:2">
      <c r="A444" s="155" t="s">
        <v>2251</v>
      </c>
      <c r="B444" s="154" t="s">
        <v>2252</v>
      </c>
    </row>
    <row r="445" spans="1:2">
      <c r="A445" s="155" t="s">
        <v>2253</v>
      </c>
      <c r="B445" s="154" t="s">
        <v>2254</v>
      </c>
    </row>
    <row r="446" spans="1:2">
      <c r="A446" s="155" t="s">
        <v>2255</v>
      </c>
      <c r="B446" s="154" t="s">
        <v>2256</v>
      </c>
    </row>
    <row r="447" spans="1:2">
      <c r="A447" s="155" t="s">
        <v>2257</v>
      </c>
      <c r="B447" s="154" t="s">
        <v>2258</v>
      </c>
    </row>
    <row r="448" spans="1:2">
      <c r="A448" s="155" t="s">
        <v>2259</v>
      </c>
      <c r="B448" s="154" t="s">
        <v>2260</v>
      </c>
    </row>
    <row r="449" spans="1:2">
      <c r="A449" s="155" t="s">
        <v>2261</v>
      </c>
      <c r="B449" s="154" t="s">
        <v>2262</v>
      </c>
    </row>
    <row r="450" spans="1:2">
      <c r="A450" s="155" t="s">
        <v>2263</v>
      </c>
      <c r="B450" s="154" t="s">
        <v>2264</v>
      </c>
    </row>
    <row r="451" spans="1:2">
      <c r="A451" s="155" t="s">
        <v>2265</v>
      </c>
      <c r="B451" s="154" t="s">
        <v>2266</v>
      </c>
    </row>
    <row r="452" spans="1:2">
      <c r="A452" s="155" t="s">
        <v>2267</v>
      </c>
      <c r="B452" s="154" t="s">
        <v>2268</v>
      </c>
    </row>
    <row r="453" spans="1:2">
      <c r="A453" s="155" t="s">
        <v>2269</v>
      </c>
      <c r="B453" s="154" t="s">
        <v>2270</v>
      </c>
    </row>
    <row r="454" spans="1:2">
      <c r="A454" s="155" t="s">
        <v>2271</v>
      </c>
      <c r="B454" s="154" t="s">
        <v>2272</v>
      </c>
    </row>
    <row r="455" spans="1:2">
      <c r="A455" s="155" t="s">
        <v>2273</v>
      </c>
      <c r="B455" s="154" t="s">
        <v>2274</v>
      </c>
    </row>
    <row r="456" spans="1:2">
      <c r="A456" s="155" t="s">
        <v>2275</v>
      </c>
      <c r="B456" s="154" t="s">
        <v>2276</v>
      </c>
    </row>
    <row r="457" spans="1:2">
      <c r="A457" s="155" t="s">
        <v>2277</v>
      </c>
      <c r="B457" s="154" t="s">
        <v>2278</v>
      </c>
    </row>
    <row r="458" spans="1:2">
      <c r="A458" s="155" t="s">
        <v>2279</v>
      </c>
      <c r="B458" s="154" t="s">
        <v>2280</v>
      </c>
    </row>
    <row r="459" spans="1:2">
      <c r="A459" s="155" t="s">
        <v>2281</v>
      </c>
      <c r="B459" s="154" t="s">
        <v>2282</v>
      </c>
    </row>
    <row r="460" spans="1:2">
      <c r="A460" s="155" t="s">
        <v>2283</v>
      </c>
      <c r="B460" s="154" t="s">
        <v>2284</v>
      </c>
    </row>
    <row r="461" spans="1:2">
      <c r="A461" s="155" t="s">
        <v>2285</v>
      </c>
      <c r="B461" s="154" t="s">
        <v>2286</v>
      </c>
    </row>
    <row r="462" spans="1:2">
      <c r="A462" s="155" t="s">
        <v>2287</v>
      </c>
      <c r="B462" s="154" t="s">
        <v>2288</v>
      </c>
    </row>
    <row r="463" spans="1:2">
      <c r="A463" s="155" t="s">
        <v>2289</v>
      </c>
      <c r="B463" s="154" t="s">
        <v>2290</v>
      </c>
    </row>
    <row r="464" spans="1:2">
      <c r="A464" s="155" t="s">
        <v>2291</v>
      </c>
      <c r="B464" s="154" t="s">
        <v>2292</v>
      </c>
    </row>
    <row r="465" spans="1:2">
      <c r="A465" s="155" t="s">
        <v>2293</v>
      </c>
      <c r="B465" s="154" t="s">
        <v>2294</v>
      </c>
    </row>
    <row r="466" spans="1:2">
      <c r="A466" s="155" t="s">
        <v>2295</v>
      </c>
      <c r="B466" s="154" t="s">
        <v>2296</v>
      </c>
    </row>
    <row r="467" spans="1:2">
      <c r="A467" s="155" t="s">
        <v>2297</v>
      </c>
      <c r="B467" s="154" t="s">
        <v>2298</v>
      </c>
    </row>
    <row r="468" spans="1:2">
      <c r="A468" s="155" t="s">
        <v>2299</v>
      </c>
      <c r="B468" s="154" t="s">
        <v>2300</v>
      </c>
    </row>
    <row r="469" spans="1:2">
      <c r="A469" s="155" t="s">
        <v>2301</v>
      </c>
      <c r="B469" s="154" t="s">
        <v>2302</v>
      </c>
    </row>
    <row r="470" spans="1:2">
      <c r="A470" s="155" t="s">
        <v>2303</v>
      </c>
      <c r="B470" s="154" t="s">
        <v>2304</v>
      </c>
    </row>
    <row r="471" spans="1:2">
      <c r="A471" s="155" t="s">
        <v>2305</v>
      </c>
      <c r="B471" s="154" t="s">
        <v>2306</v>
      </c>
    </row>
    <row r="472" spans="1:2">
      <c r="A472" s="155" t="s">
        <v>2307</v>
      </c>
      <c r="B472" s="154" t="s">
        <v>2308</v>
      </c>
    </row>
    <row r="473" spans="1:2">
      <c r="A473" s="155" t="s">
        <v>2309</v>
      </c>
      <c r="B473" s="154" t="s">
        <v>2310</v>
      </c>
    </row>
    <row r="474" spans="1:2">
      <c r="A474" s="155" t="s">
        <v>2311</v>
      </c>
      <c r="B474" s="154" t="s">
        <v>2312</v>
      </c>
    </row>
    <row r="475" spans="1:2">
      <c r="A475" s="155" t="s">
        <v>2313</v>
      </c>
      <c r="B475" s="154" t="s">
        <v>2314</v>
      </c>
    </row>
    <row r="476" spans="1:2">
      <c r="A476" s="155" t="s">
        <v>2315</v>
      </c>
      <c r="B476" s="154" t="s">
        <v>2316</v>
      </c>
    </row>
    <row r="477" spans="1:2">
      <c r="A477" s="155" t="s">
        <v>2317</v>
      </c>
      <c r="B477" s="154" t="s">
        <v>2318</v>
      </c>
    </row>
    <row r="478" spans="1:2">
      <c r="A478" s="155" t="s">
        <v>2319</v>
      </c>
      <c r="B478" s="154" t="s">
        <v>2320</v>
      </c>
    </row>
    <row r="479" spans="1:2">
      <c r="A479" s="155" t="s">
        <v>2321</v>
      </c>
      <c r="B479" s="154" t="s">
        <v>2322</v>
      </c>
    </row>
    <row r="480" spans="1:2">
      <c r="A480" s="155" t="s">
        <v>2323</v>
      </c>
      <c r="B480" s="154" t="s">
        <v>2324</v>
      </c>
    </row>
    <row r="481" spans="1:2">
      <c r="A481" s="155" t="s">
        <v>2325</v>
      </c>
      <c r="B481" s="154" t="s">
        <v>2326</v>
      </c>
    </row>
    <row r="482" spans="1:2">
      <c r="A482" s="155" t="s">
        <v>2327</v>
      </c>
      <c r="B482" s="154" t="s">
        <v>2328</v>
      </c>
    </row>
    <row r="483" spans="1:2">
      <c r="A483" s="155" t="s">
        <v>2329</v>
      </c>
      <c r="B483" s="154" t="s">
        <v>2330</v>
      </c>
    </row>
    <row r="484" spans="1:2">
      <c r="A484" s="155" t="s">
        <v>2331</v>
      </c>
      <c r="B484" s="154" t="s">
        <v>2332</v>
      </c>
    </row>
    <row r="485" spans="1:2">
      <c r="A485" s="155" t="s">
        <v>2333</v>
      </c>
      <c r="B485" s="154" t="s">
        <v>2334</v>
      </c>
    </row>
    <row r="486" spans="1:2">
      <c r="A486" s="155" t="s">
        <v>2335</v>
      </c>
      <c r="B486" s="154" t="s">
        <v>2336</v>
      </c>
    </row>
    <row r="487" spans="1:2">
      <c r="A487" s="155" t="s">
        <v>2337</v>
      </c>
      <c r="B487" s="154" t="s">
        <v>2338</v>
      </c>
    </row>
    <row r="488" spans="1:2">
      <c r="A488" s="155" t="s">
        <v>2339</v>
      </c>
      <c r="B488" s="154" t="s">
        <v>2340</v>
      </c>
    </row>
    <row r="489" spans="1:2">
      <c r="A489" s="155" t="s">
        <v>2341</v>
      </c>
      <c r="B489" s="154" t="s">
        <v>2342</v>
      </c>
    </row>
    <row r="490" spans="1:2">
      <c r="A490" s="155" t="s">
        <v>2343</v>
      </c>
      <c r="B490" s="154" t="s">
        <v>2344</v>
      </c>
    </row>
    <row r="491" spans="1:2">
      <c r="A491" s="155" t="s">
        <v>2345</v>
      </c>
      <c r="B491" s="154" t="s">
        <v>2346</v>
      </c>
    </row>
    <row r="492" spans="1:2">
      <c r="A492" s="155" t="s">
        <v>2347</v>
      </c>
      <c r="B492" s="154" t="s">
        <v>2348</v>
      </c>
    </row>
    <row r="493" spans="1:2">
      <c r="A493" s="155" t="s">
        <v>2349</v>
      </c>
      <c r="B493" s="154" t="s">
        <v>2350</v>
      </c>
    </row>
    <row r="494" spans="1:2">
      <c r="A494" s="155" t="s">
        <v>2351</v>
      </c>
      <c r="B494" s="154" t="s">
        <v>2352</v>
      </c>
    </row>
    <row r="495" spans="1:2">
      <c r="A495" s="155" t="s">
        <v>2353</v>
      </c>
      <c r="B495" s="154" t="s">
        <v>2354</v>
      </c>
    </row>
    <row r="496" spans="1:2">
      <c r="A496" s="155" t="s">
        <v>2355</v>
      </c>
      <c r="B496" s="154" t="s">
        <v>2356</v>
      </c>
    </row>
    <row r="497" spans="1:2">
      <c r="A497" s="155" t="s">
        <v>2357</v>
      </c>
      <c r="B497" s="154" t="s">
        <v>2358</v>
      </c>
    </row>
    <row r="498" spans="1:2">
      <c r="A498" s="155" t="s">
        <v>2359</v>
      </c>
      <c r="B498" s="154" t="s">
        <v>2360</v>
      </c>
    </row>
    <row r="499" spans="1:2">
      <c r="A499" s="155" t="s">
        <v>2361</v>
      </c>
      <c r="B499" s="154" t="s">
        <v>2362</v>
      </c>
    </row>
    <row r="500" spans="1:2">
      <c r="A500" s="155" t="s">
        <v>2363</v>
      </c>
      <c r="B500" s="154" t="s">
        <v>2364</v>
      </c>
    </row>
    <row r="501" spans="1:2">
      <c r="A501" s="155" t="s">
        <v>2365</v>
      </c>
      <c r="B501" s="154" t="s">
        <v>2366</v>
      </c>
    </row>
    <row r="502" spans="1:2">
      <c r="A502" s="155" t="s">
        <v>2367</v>
      </c>
      <c r="B502" s="154" t="s">
        <v>2368</v>
      </c>
    </row>
    <row r="503" spans="1:2">
      <c r="A503" s="155" t="s">
        <v>2369</v>
      </c>
      <c r="B503" s="154" t="s">
        <v>2370</v>
      </c>
    </row>
    <row r="504" spans="1:2">
      <c r="A504" s="155" t="s">
        <v>2371</v>
      </c>
      <c r="B504" s="154" t="s">
        <v>2372</v>
      </c>
    </row>
    <row r="505" spans="1:2">
      <c r="A505" s="155" t="s">
        <v>2373</v>
      </c>
      <c r="B505" s="154" t="s">
        <v>2374</v>
      </c>
    </row>
    <row r="506" spans="1:2">
      <c r="A506" s="155" t="s">
        <v>2375</v>
      </c>
      <c r="B506" s="154" t="s">
        <v>2376</v>
      </c>
    </row>
    <row r="507" spans="1:2">
      <c r="A507" s="155" t="s">
        <v>2377</v>
      </c>
      <c r="B507" s="154" t="s">
        <v>2378</v>
      </c>
    </row>
    <row r="508" spans="1:2">
      <c r="A508" s="155" t="s">
        <v>2379</v>
      </c>
      <c r="B508" s="154" t="s">
        <v>2380</v>
      </c>
    </row>
    <row r="509" spans="1:2">
      <c r="A509" s="155" t="s">
        <v>2381</v>
      </c>
      <c r="B509" s="154" t="s">
        <v>2382</v>
      </c>
    </row>
    <row r="510" spans="1:2">
      <c r="A510" s="155" t="s">
        <v>2383</v>
      </c>
      <c r="B510" s="154" t="s">
        <v>2384</v>
      </c>
    </row>
    <row r="511" spans="1:2">
      <c r="A511" s="155" t="s">
        <v>2385</v>
      </c>
      <c r="B511" s="154" t="s">
        <v>2386</v>
      </c>
    </row>
    <row r="512" spans="1:2">
      <c r="A512" s="155" t="s">
        <v>2387</v>
      </c>
      <c r="B512" s="154" t="s">
        <v>2388</v>
      </c>
    </row>
    <row r="513" spans="1:2">
      <c r="A513" s="155" t="s">
        <v>2389</v>
      </c>
      <c r="B513" s="154" t="s">
        <v>2390</v>
      </c>
    </row>
    <row r="514" spans="1:2">
      <c r="A514" s="155" t="s">
        <v>2391</v>
      </c>
      <c r="B514" s="154" t="s">
        <v>2392</v>
      </c>
    </row>
    <row r="515" spans="1:2">
      <c r="A515" s="155" t="s">
        <v>2393</v>
      </c>
      <c r="B515" s="154" t="s">
        <v>2394</v>
      </c>
    </row>
    <row r="516" spans="1:2">
      <c r="A516" s="155" t="s">
        <v>2395</v>
      </c>
      <c r="B516" s="154" t="s">
        <v>2396</v>
      </c>
    </row>
    <row r="517" spans="1:2">
      <c r="A517" s="155" t="s">
        <v>2397</v>
      </c>
      <c r="B517" s="154" t="s">
        <v>2398</v>
      </c>
    </row>
    <row r="518" spans="1:2">
      <c r="A518" s="155" t="s">
        <v>2399</v>
      </c>
      <c r="B518" s="154" t="s">
        <v>2400</v>
      </c>
    </row>
    <row r="519" spans="1:2">
      <c r="A519" s="155" t="s">
        <v>2401</v>
      </c>
      <c r="B519" s="154" t="s">
        <v>2402</v>
      </c>
    </row>
    <row r="520" spans="1:2">
      <c r="A520" s="155" t="s">
        <v>2403</v>
      </c>
      <c r="B520" s="154" t="s">
        <v>2404</v>
      </c>
    </row>
    <row r="521" spans="1:2">
      <c r="A521" s="155" t="s">
        <v>2405</v>
      </c>
      <c r="B521" s="154" t="s">
        <v>2406</v>
      </c>
    </row>
    <row r="522" spans="1:2">
      <c r="A522" s="155" t="s">
        <v>2407</v>
      </c>
      <c r="B522" s="154" t="s">
        <v>2408</v>
      </c>
    </row>
    <row r="523" spans="1:2">
      <c r="A523" s="155" t="s">
        <v>2409</v>
      </c>
      <c r="B523" s="154" t="s">
        <v>2410</v>
      </c>
    </row>
    <row r="524" spans="1:2">
      <c r="A524" s="155" t="s">
        <v>2411</v>
      </c>
      <c r="B524" s="154" t="s">
        <v>2412</v>
      </c>
    </row>
    <row r="525" spans="1:2">
      <c r="A525" s="155" t="s">
        <v>2413</v>
      </c>
      <c r="B525" s="154" t="s">
        <v>2414</v>
      </c>
    </row>
    <row r="526" spans="1:2">
      <c r="A526" s="155" t="s">
        <v>2415</v>
      </c>
      <c r="B526" s="154" t="s">
        <v>2416</v>
      </c>
    </row>
    <row r="527" spans="1:2">
      <c r="A527" s="155" t="s">
        <v>2417</v>
      </c>
      <c r="B527" s="154" t="s">
        <v>2418</v>
      </c>
    </row>
    <row r="528" spans="1:2">
      <c r="A528" s="155" t="s">
        <v>1398</v>
      </c>
      <c r="B528" s="154" t="s">
        <v>2419</v>
      </c>
    </row>
    <row r="529" spans="1:2">
      <c r="A529" s="155" t="s">
        <v>2420</v>
      </c>
      <c r="B529" s="154" t="s">
        <v>2421</v>
      </c>
    </row>
    <row r="530" spans="1:2">
      <c r="A530" s="155" t="s">
        <v>2422</v>
      </c>
      <c r="B530" s="154" t="s">
        <v>2423</v>
      </c>
    </row>
    <row r="531" spans="1:2">
      <c r="A531" s="155" t="s">
        <v>2424</v>
      </c>
      <c r="B531" s="154" t="s">
        <v>2425</v>
      </c>
    </row>
    <row r="532" spans="1:2">
      <c r="A532" s="155" t="s">
        <v>1404</v>
      </c>
      <c r="B532" s="154" t="s">
        <v>2426</v>
      </c>
    </row>
    <row r="533" spans="1:2">
      <c r="A533" s="155" t="s">
        <v>2427</v>
      </c>
      <c r="B533" s="154" t="s">
        <v>2428</v>
      </c>
    </row>
    <row r="534" spans="1:2">
      <c r="A534" s="155" t="s">
        <v>2429</v>
      </c>
      <c r="B534" s="154" t="s">
        <v>2430</v>
      </c>
    </row>
    <row r="535" spans="1:2">
      <c r="A535" s="155" t="s">
        <v>2431</v>
      </c>
      <c r="B535" s="154" t="s">
        <v>2432</v>
      </c>
    </row>
    <row r="536" spans="1:2">
      <c r="A536" s="155" t="s">
        <v>2433</v>
      </c>
      <c r="B536" s="154" t="s">
        <v>2434</v>
      </c>
    </row>
    <row r="537" spans="1:2">
      <c r="A537" s="155" t="s">
        <v>2435</v>
      </c>
      <c r="B537" s="154" t="s">
        <v>2436</v>
      </c>
    </row>
    <row r="538" spans="1:2">
      <c r="A538" s="155" t="s">
        <v>2437</v>
      </c>
      <c r="B538" s="154" t="s">
        <v>2438</v>
      </c>
    </row>
    <row r="539" spans="1:2">
      <c r="A539" s="155" t="s">
        <v>2439</v>
      </c>
      <c r="B539" s="154" t="s">
        <v>2440</v>
      </c>
    </row>
    <row r="540" spans="1:2">
      <c r="A540" s="155" t="s">
        <v>2441</v>
      </c>
      <c r="B540" s="154" t="s">
        <v>2442</v>
      </c>
    </row>
    <row r="541" spans="1:2">
      <c r="A541" s="155" t="s">
        <v>2443</v>
      </c>
      <c r="B541" s="154" t="s">
        <v>2444</v>
      </c>
    </row>
    <row r="542" spans="1:2">
      <c r="A542" s="155" t="s">
        <v>2445</v>
      </c>
      <c r="B542" s="154" t="s">
        <v>2446</v>
      </c>
    </row>
    <row r="543" spans="1:2">
      <c r="A543" s="155" t="s">
        <v>2447</v>
      </c>
      <c r="B543" s="154" t="s">
        <v>2448</v>
      </c>
    </row>
    <row r="544" spans="1:2">
      <c r="A544" s="155" t="s">
        <v>2449</v>
      </c>
      <c r="B544" s="154" t="s">
        <v>2450</v>
      </c>
    </row>
    <row r="545" spans="1:2">
      <c r="A545" s="155" t="s">
        <v>2451</v>
      </c>
      <c r="B545" s="154" t="s">
        <v>2452</v>
      </c>
    </row>
    <row r="546" spans="1:2">
      <c r="A546" s="155" t="s">
        <v>2453</v>
      </c>
      <c r="B546" s="154" t="s">
        <v>2454</v>
      </c>
    </row>
    <row r="547" spans="1:2">
      <c r="A547" s="155" t="s">
        <v>2455</v>
      </c>
      <c r="B547" s="154" t="s">
        <v>2456</v>
      </c>
    </row>
    <row r="548" spans="1:2">
      <c r="A548" s="155" t="s">
        <v>2457</v>
      </c>
      <c r="B548" s="154" t="s">
        <v>2458</v>
      </c>
    </row>
    <row r="549" spans="1:2">
      <c r="A549" s="155" t="s">
        <v>2459</v>
      </c>
      <c r="B549" s="154" t="s">
        <v>2460</v>
      </c>
    </row>
    <row r="550" spans="1:2">
      <c r="A550" s="155" t="s">
        <v>2461</v>
      </c>
      <c r="B550" s="154" t="s">
        <v>2462</v>
      </c>
    </row>
    <row r="551" spans="1:2">
      <c r="A551" s="155" t="s">
        <v>2463</v>
      </c>
      <c r="B551" s="154" t="s">
        <v>2464</v>
      </c>
    </row>
    <row r="552" spans="1:2">
      <c r="A552" s="155" t="s">
        <v>2465</v>
      </c>
      <c r="B552" s="154" t="s">
        <v>2466</v>
      </c>
    </row>
    <row r="553" spans="1:2">
      <c r="A553" s="155" t="s">
        <v>2467</v>
      </c>
      <c r="B553" s="154" t="s">
        <v>2468</v>
      </c>
    </row>
    <row r="554" spans="1:2">
      <c r="A554" s="155" t="s">
        <v>2469</v>
      </c>
      <c r="B554" s="154" t="s">
        <v>2470</v>
      </c>
    </row>
    <row r="555" spans="1:2">
      <c r="A555" s="155" t="s">
        <v>2471</v>
      </c>
      <c r="B555" s="154" t="s">
        <v>2472</v>
      </c>
    </row>
    <row r="556" spans="1:2">
      <c r="A556" s="155" t="s">
        <v>2473</v>
      </c>
      <c r="B556" s="154" t="s">
        <v>2474</v>
      </c>
    </row>
    <row r="557" spans="1:2">
      <c r="A557" s="155" t="s">
        <v>2475</v>
      </c>
      <c r="B557" s="154" t="s">
        <v>2476</v>
      </c>
    </row>
    <row r="558" spans="1:2">
      <c r="A558" s="155" t="s">
        <v>2477</v>
      </c>
      <c r="B558" s="154" t="s">
        <v>2478</v>
      </c>
    </row>
    <row r="559" spans="1:2">
      <c r="A559" s="155" t="s">
        <v>2479</v>
      </c>
      <c r="B559" s="154" t="s">
        <v>2480</v>
      </c>
    </row>
    <row r="560" spans="1:2">
      <c r="A560" s="155" t="s">
        <v>2481</v>
      </c>
      <c r="B560" s="154" t="s">
        <v>2482</v>
      </c>
    </row>
    <row r="561" spans="1:2">
      <c r="A561" s="155" t="s">
        <v>2483</v>
      </c>
      <c r="B561" s="154" t="s">
        <v>2278</v>
      </c>
    </row>
    <row r="562" spans="1:2">
      <c r="A562" s="155" t="s">
        <v>2484</v>
      </c>
      <c r="B562" s="154" t="s">
        <v>2485</v>
      </c>
    </row>
    <row r="563" spans="1:2">
      <c r="A563" s="155" t="s">
        <v>2486</v>
      </c>
      <c r="B563" s="154" t="s">
        <v>2487</v>
      </c>
    </row>
    <row r="564" spans="1:2">
      <c r="A564" s="155" t="s">
        <v>2488</v>
      </c>
      <c r="B564" s="154" t="s">
        <v>2489</v>
      </c>
    </row>
    <row r="565" spans="1:2">
      <c r="A565" s="155" t="s">
        <v>2490</v>
      </c>
      <c r="B565" s="154" t="s">
        <v>2491</v>
      </c>
    </row>
    <row r="566" spans="1:2">
      <c r="A566" s="155" t="s">
        <v>2492</v>
      </c>
      <c r="B566" s="154" t="s">
        <v>2493</v>
      </c>
    </row>
    <row r="567" spans="1:2">
      <c r="A567" s="155" t="s">
        <v>2494</v>
      </c>
      <c r="B567" s="154" t="s">
        <v>2495</v>
      </c>
    </row>
    <row r="568" spans="1:2">
      <c r="A568" s="155" t="s">
        <v>2496</v>
      </c>
      <c r="B568" s="154" t="s">
        <v>2497</v>
      </c>
    </row>
    <row r="569" spans="1:2">
      <c r="A569" s="155" t="s">
        <v>2498</v>
      </c>
      <c r="B569" s="154" t="s">
        <v>2499</v>
      </c>
    </row>
    <row r="570" spans="1:2">
      <c r="A570" s="155" t="s">
        <v>2500</v>
      </c>
      <c r="B570" s="154" t="s">
        <v>2501</v>
      </c>
    </row>
    <row r="571" spans="1:2">
      <c r="A571" s="155" t="s">
        <v>2502</v>
      </c>
      <c r="B571" s="154" t="s">
        <v>2503</v>
      </c>
    </row>
    <row r="572" spans="1:2">
      <c r="A572" s="155" t="s">
        <v>2504</v>
      </c>
      <c r="B572" s="154" t="s">
        <v>2505</v>
      </c>
    </row>
    <row r="573" spans="1:2">
      <c r="A573" s="155" t="s">
        <v>2506</v>
      </c>
      <c r="B573" s="154" t="s">
        <v>2507</v>
      </c>
    </row>
    <row r="574" spans="1:2">
      <c r="A574" s="155" t="s">
        <v>2508</v>
      </c>
      <c r="B574" s="154" t="s">
        <v>2509</v>
      </c>
    </row>
    <row r="575" spans="1:2">
      <c r="A575" s="155" t="s">
        <v>2510</v>
      </c>
      <c r="B575" s="154" t="s">
        <v>2511</v>
      </c>
    </row>
    <row r="576" spans="1:2">
      <c r="A576" s="155" t="s">
        <v>2512</v>
      </c>
      <c r="B576" s="154" t="s">
        <v>2513</v>
      </c>
    </row>
    <row r="577" spans="1:2">
      <c r="A577" s="155" t="s">
        <v>2514</v>
      </c>
      <c r="B577" s="154" t="s">
        <v>2515</v>
      </c>
    </row>
    <row r="578" spans="1:2">
      <c r="A578" s="155" t="s">
        <v>2516</v>
      </c>
      <c r="B578" s="154" t="s">
        <v>2517</v>
      </c>
    </row>
    <row r="579" spans="1:2">
      <c r="A579" s="155" t="s">
        <v>2518</v>
      </c>
      <c r="B579" s="154" t="s">
        <v>2519</v>
      </c>
    </row>
    <row r="580" spans="1:2">
      <c r="A580" s="155" t="s">
        <v>2520</v>
      </c>
      <c r="B580" s="154" t="s">
        <v>2521</v>
      </c>
    </row>
    <row r="581" spans="1:2">
      <c r="A581" s="155" t="s">
        <v>2522</v>
      </c>
      <c r="B581" s="154" t="s">
        <v>2523</v>
      </c>
    </row>
    <row r="582" spans="1:2">
      <c r="A582" s="155" t="s">
        <v>2524</v>
      </c>
      <c r="B582" s="154" t="s">
        <v>2525</v>
      </c>
    </row>
    <row r="583" spans="1:2">
      <c r="A583" s="155" t="s">
        <v>2526</v>
      </c>
      <c r="B583" s="154" t="s">
        <v>2527</v>
      </c>
    </row>
    <row r="584" spans="1:2">
      <c r="A584" s="155" t="s">
        <v>2528</v>
      </c>
      <c r="B584" s="154" t="s">
        <v>2529</v>
      </c>
    </row>
    <row r="585" spans="1:2">
      <c r="A585" s="155" t="s">
        <v>2530</v>
      </c>
      <c r="B585" s="154" t="s">
        <v>2531</v>
      </c>
    </row>
    <row r="586" spans="1:2">
      <c r="A586" s="155" t="s">
        <v>2532</v>
      </c>
      <c r="B586" s="154" t="s">
        <v>2533</v>
      </c>
    </row>
    <row r="587" spans="1:2">
      <c r="A587" s="155" t="s">
        <v>2534</v>
      </c>
      <c r="B587" s="154" t="s">
        <v>2535</v>
      </c>
    </row>
    <row r="588" spans="1:2">
      <c r="A588" s="155" t="s">
        <v>2536</v>
      </c>
      <c r="B588" s="154" t="s">
        <v>2537</v>
      </c>
    </row>
    <row r="589" spans="1:2">
      <c r="A589" s="155" t="s">
        <v>2538</v>
      </c>
      <c r="B589" s="154" t="s">
        <v>2539</v>
      </c>
    </row>
    <row r="590" spans="1:2">
      <c r="A590" s="155" t="s">
        <v>2540</v>
      </c>
      <c r="B590" s="154" t="s">
        <v>2541</v>
      </c>
    </row>
    <row r="591" spans="1:2">
      <c r="A591" s="155" t="s">
        <v>2542</v>
      </c>
      <c r="B591" s="154" t="s">
        <v>2543</v>
      </c>
    </row>
    <row r="592" spans="1:2">
      <c r="A592" s="155" t="s">
        <v>2544</v>
      </c>
      <c r="B592" s="154" t="s">
        <v>2545</v>
      </c>
    </row>
    <row r="593" spans="1:2">
      <c r="A593" s="155" t="s">
        <v>2546</v>
      </c>
      <c r="B593" s="154" t="s">
        <v>2547</v>
      </c>
    </row>
    <row r="594" spans="1:2">
      <c r="A594" s="155" t="s">
        <v>2548</v>
      </c>
      <c r="B594" s="154" t="s">
        <v>2549</v>
      </c>
    </row>
    <row r="595" spans="1:2">
      <c r="A595" s="155" t="s">
        <v>2550</v>
      </c>
      <c r="B595" s="154" t="s">
        <v>2551</v>
      </c>
    </row>
    <row r="596" spans="1:2">
      <c r="A596" s="155" t="s">
        <v>2552</v>
      </c>
      <c r="B596" s="154" t="s">
        <v>2553</v>
      </c>
    </row>
    <row r="597" spans="1:2">
      <c r="A597" s="155" t="s">
        <v>2554</v>
      </c>
      <c r="B597" s="154" t="s">
        <v>2555</v>
      </c>
    </row>
    <row r="598" spans="1:2">
      <c r="A598" s="155" t="s">
        <v>2556</v>
      </c>
      <c r="B598" s="154" t="s">
        <v>2557</v>
      </c>
    </row>
    <row r="599" spans="1:2">
      <c r="A599" s="155" t="s">
        <v>2558</v>
      </c>
      <c r="B599" s="154" t="s">
        <v>2559</v>
      </c>
    </row>
    <row r="600" spans="1:2">
      <c r="A600" s="155" t="s">
        <v>2560</v>
      </c>
      <c r="B600" s="154" t="s">
        <v>2561</v>
      </c>
    </row>
    <row r="601" spans="1:2">
      <c r="A601" s="155" t="s">
        <v>2562</v>
      </c>
      <c r="B601" s="154" t="s">
        <v>2563</v>
      </c>
    </row>
    <row r="602" spans="1:2">
      <c r="A602" s="155" t="s">
        <v>1407</v>
      </c>
      <c r="B602" s="154" t="s">
        <v>2564</v>
      </c>
    </row>
    <row r="603" spans="1:2">
      <c r="A603" s="155" t="s">
        <v>1410</v>
      </c>
      <c r="B603" s="154" t="s">
        <v>2565</v>
      </c>
    </row>
    <row r="604" spans="1:2">
      <c r="A604" s="155" t="s">
        <v>1423</v>
      </c>
      <c r="B604" s="154" t="s">
        <v>2566</v>
      </c>
    </row>
    <row r="605" spans="1:2">
      <c r="A605" s="155" t="s">
        <v>2567</v>
      </c>
      <c r="B605" s="154" t="s">
        <v>2568</v>
      </c>
    </row>
    <row r="606" spans="1:2">
      <c r="A606" s="155" t="s">
        <v>2569</v>
      </c>
      <c r="B606" s="154" t="s">
        <v>2570</v>
      </c>
    </row>
    <row r="607" spans="1:2">
      <c r="A607" s="155" t="s">
        <v>2571</v>
      </c>
      <c r="B607" s="154" t="s">
        <v>2572</v>
      </c>
    </row>
    <row r="608" spans="1:2">
      <c r="A608" s="155" t="s">
        <v>2573</v>
      </c>
      <c r="B608" s="154" t="s">
        <v>2574</v>
      </c>
    </row>
    <row r="609" spans="1:2">
      <c r="A609" s="155" t="s">
        <v>2575</v>
      </c>
      <c r="B609" s="154" t="s">
        <v>2576</v>
      </c>
    </row>
    <row r="610" spans="1:2">
      <c r="A610" s="155" t="s">
        <v>2577</v>
      </c>
      <c r="B610" s="154" t="s">
        <v>2578</v>
      </c>
    </row>
    <row r="611" spans="1:2">
      <c r="A611" s="155" t="s">
        <v>2579</v>
      </c>
      <c r="B611" s="154" t="s">
        <v>2580</v>
      </c>
    </row>
    <row r="612" spans="1:2">
      <c r="A612" s="155" t="s">
        <v>2581</v>
      </c>
      <c r="B612" s="154" t="s">
        <v>2582</v>
      </c>
    </row>
    <row r="613" spans="1:2">
      <c r="A613" s="155" t="s">
        <v>2583</v>
      </c>
      <c r="B613" s="154" t="s">
        <v>2584</v>
      </c>
    </row>
    <row r="614" spans="1:2">
      <c r="A614" s="155" t="s">
        <v>2585</v>
      </c>
      <c r="B614" s="154" t="s">
        <v>2586</v>
      </c>
    </row>
    <row r="615" spans="1:2">
      <c r="A615" s="155" t="s">
        <v>2587</v>
      </c>
      <c r="B615" s="154" t="s">
        <v>2588</v>
      </c>
    </row>
    <row r="616" spans="1:2">
      <c r="A616" s="155" t="s">
        <v>2589</v>
      </c>
      <c r="B616" s="154" t="s">
        <v>2590</v>
      </c>
    </row>
    <row r="617" spans="1:2">
      <c r="A617" s="155" t="s">
        <v>2591</v>
      </c>
      <c r="B617" s="154" t="s">
        <v>2592</v>
      </c>
    </row>
    <row r="618" spans="1:2">
      <c r="A618" s="155" t="s">
        <v>2593</v>
      </c>
      <c r="B618" s="154" t="s">
        <v>2594</v>
      </c>
    </row>
    <row r="619" spans="1:2">
      <c r="A619" s="155" t="s">
        <v>2595</v>
      </c>
      <c r="B619" s="154" t="s">
        <v>2596</v>
      </c>
    </row>
    <row r="620" spans="1:2">
      <c r="A620" s="155" t="s">
        <v>2597</v>
      </c>
      <c r="B620" s="154" t="s">
        <v>2598</v>
      </c>
    </row>
    <row r="621" spans="1:2">
      <c r="A621" s="155" t="s">
        <v>2599</v>
      </c>
      <c r="B621" s="154" t="s">
        <v>2600</v>
      </c>
    </row>
    <row r="622" spans="1:2">
      <c r="A622" s="155" t="s">
        <v>2601</v>
      </c>
      <c r="B622" s="154" t="s">
        <v>2602</v>
      </c>
    </row>
    <row r="623" spans="1:2">
      <c r="A623" s="155" t="s">
        <v>2603</v>
      </c>
      <c r="B623" s="154" t="s">
        <v>2604</v>
      </c>
    </row>
    <row r="624" spans="1:2">
      <c r="A624" s="155" t="s">
        <v>2605</v>
      </c>
      <c r="B624" s="154" t="s">
        <v>2606</v>
      </c>
    </row>
    <row r="625" spans="1:2">
      <c r="A625" s="155" t="s">
        <v>2607</v>
      </c>
      <c r="B625" s="154" t="s">
        <v>1796</v>
      </c>
    </row>
    <row r="626" spans="1:2">
      <c r="A626" s="155" t="s">
        <v>2608</v>
      </c>
      <c r="B626" s="154" t="s">
        <v>2609</v>
      </c>
    </row>
    <row r="627" spans="1:2">
      <c r="A627" s="155" t="s">
        <v>2610</v>
      </c>
      <c r="B627" s="154" t="s">
        <v>2611</v>
      </c>
    </row>
    <row r="628" spans="1:2">
      <c r="A628" s="155" t="s">
        <v>2612</v>
      </c>
      <c r="B628" s="154" t="s">
        <v>2613</v>
      </c>
    </row>
    <row r="629" spans="1:2">
      <c r="A629" s="155" t="s">
        <v>2614</v>
      </c>
      <c r="B629" s="154" t="s">
        <v>2615</v>
      </c>
    </row>
    <row r="630" spans="1:2">
      <c r="A630" s="155" t="s">
        <v>2616</v>
      </c>
      <c r="B630" s="154" t="s">
        <v>2617</v>
      </c>
    </row>
    <row r="631" spans="1:2">
      <c r="A631" s="155" t="s">
        <v>2618</v>
      </c>
      <c r="B631" s="154" t="s">
        <v>2619</v>
      </c>
    </row>
    <row r="632" spans="1:2">
      <c r="A632" s="155" t="s">
        <v>2620</v>
      </c>
      <c r="B632" s="154" t="s">
        <v>2621</v>
      </c>
    </row>
    <row r="633" spans="1:2">
      <c r="A633" s="155" t="s">
        <v>2622</v>
      </c>
      <c r="B633" s="154" t="s">
        <v>2623</v>
      </c>
    </row>
    <row r="634" spans="1:2">
      <c r="A634" s="155" t="s">
        <v>2624</v>
      </c>
      <c r="B634" s="154" t="s">
        <v>2625</v>
      </c>
    </row>
    <row r="635" spans="1:2">
      <c r="A635" s="155" t="s">
        <v>2626</v>
      </c>
      <c r="B635" s="154" t="s">
        <v>2627</v>
      </c>
    </row>
    <row r="636" spans="1:2">
      <c r="A636" s="155" t="s">
        <v>2628</v>
      </c>
      <c r="B636" s="154" t="s">
        <v>2629</v>
      </c>
    </row>
    <row r="637" spans="1:2">
      <c r="A637" s="155" t="s">
        <v>2630</v>
      </c>
      <c r="B637" s="154" t="s">
        <v>2631</v>
      </c>
    </row>
    <row r="638" spans="1:2">
      <c r="A638" s="155" t="s">
        <v>2632</v>
      </c>
      <c r="B638" s="154" t="s">
        <v>2633</v>
      </c>
    </row>
    <row r="639" spans="1:2">
      <c r="A639" s="155" t="s">
        <v>2634</v>
      </c>
      <c r="B639" s="154" t="s">
        <v>2635</v>
      </c>
    </row>
    <row r="640" spans="1:2">
      <c r="A640" s="155" t="s">
        <v>2636</v>
      </c>
      <c r="B640" s="154" t="s">
        <v>2637</v>
      </c>
    </row>
    <row r="641" spans="1:2">
      <c r="A641" s="155" t="s">
        <v>2638</v>
      </c>
      <c r="B641" s="154" t="s">
        <v>2639</v>
      </c>
    </row>
    <row r="642" spans="1:2">
      <c r="A642" s="155" t="s">
        <v>2640</v>
      </c>
      <c r="B642" s="154" t="s">
        <v>2641</v>
      </c>
    </row>
    <row r="643" spans="1:2">
      <c r="A643" s="155" t="s">
        <v>2642</v>
      </c>
      <c r="B643" s="154" t="s">
        <v>2643</v>
      </c>
    </row>
    <row r="644" spans="1:2">
      <c r="A644" s="155" t="s">
        <v>2644</v>
      </c>
      <c r="B644" s="154" t="s">
        <v>2645</v>
      </c>
    </row>
    <row r="645" spans="1:2">
      <c r="A645" s="155" t="s">
        <v>2646</v>
      </c>
      <c r="B645" s="154" t="s">
        <v>2647</v>
      </c>
    </row>
    <row r="646" spans="1:2">
      <c r="A646" s="155" t="s">
        <v>2648</v>
      </c>
      <c r="B646" s="154" t="s">
        <v>2649</v>
      </c>
    </row>
    <row r="647" spans="1:2">
      <c r="A647" s="155" t="s">
        <v>2650</v>
      </c>
      <c r="B647" s="154" t="s">
        <v>2651</v>
      </c>
    </row>
    <row r="648" spans="1:2">
      <c r="A648" s="155" t="s">
        <v>2652</v>
      </c>
      <c r="B648" s="154" t="s">
        <v>2653</v>
      </c>
    </row>
    <row r="649" spans="1:2">
      <c r="A649" s="155" t="s">
        <v>2654</v>
      </c>
      <c r="B649" s="154" t="s">
        <v>2655</v>
      </c>
    </row>
    <row r="650" spans="1:2">
      <c r="A650" s="155" t="s">
        <v>2656</v>
      </c>
      <c r="B650" s="154" t="s">
        <v>2657</v>
      </c>
    </row>
    <row r="651" spans="1:2">
      <c r="A651" s="155" t="s">
        <v>2658</v>
      </c>
      <c r="B651" s="154" t="s">
        <v>2659</v>
      </c>
    </row>
    <row r="652" spans="1:2">
      <c r="A652" s="155" t="s">
        <v>2660</v>
      </c>
      <c r="B652" s="154" t="s">
        <v>2661</v>
      </c>
    </row>
    <row r="653" spans="1:2">
      <c r="A653" s="155" t="s">
        <v>2662</v>
      </c>
      <c r="B653" s="154" t="s">
        <v>2663</v>
      </c>
    </row>
    <row r="654" spans="1:2">
      <c r="A654" s="155" t="s">
        <v>2664</v>
      </c>
      <c r="B654" s="154" t="s">
        <v>2665</v>
      </c>
    </row>
    <row r="655" spans="1:2">
      <c r="A655" s="155" t="s">
        <v>2666</v>
      </c>
      <c r="B655" s="154" t="s">
        <v>2667</v>
      </c>
    </row>
    <row r="656" spans="1:2">
      <c r="A656" s="155" t="s">
        <v>2668</v>
      </c>
      <c r="B656" s="154" t="s">
        <v>2669</v>
      </c>
    </row>
    <row r="657" spans="1:2">
      <c r="A657" s="155" t="s">
        <v>2670</v>
      </c>
      <c r="B657" s="154" t="s">
        <v>2671</v>
      </c>
    </row>
    <row r="658" spans="1:2">
      <c r="A658" s="155" t="s">
        <v>2672</v>
      </c>
      <c r="B658" s="154" t="s">
        <v>2673</v>
      </c>
    </row>
    <row r="659" spans="1:2">
      <c r="A659" s="155" t="s">
        <v>2674</v>
      </c>
      <c r="B659" s="154" t="s">
        <v>2675</v>
      </c>
    </row>
    <row r="660" spans="1:2">
      <c r="A660" s="155" t="s">
        <v>2676</v>
      </c>
      <c r="B660" s="154" t="s">
        <v>2677</v>
      </c>
    </row>
    <row r="661" spans="1:2">
      <c r="A661" s="155" t="s">
        <v>2678</v>
      </c>
      <c r="B661" s="154" t="s">
        <v>2679</v>
      </c>
    </row>
    <row r="662" spans="1:2">
      <c r="A662" s="155" t="s">
        <v>2680</v>
      </c>
      <c r="B662" s="154" t="s">
        <v>2681</v>
      </c>
    </row>
    <row r="663" spans="1:2">
      <c r="A663" s="155" t="s">
        <v>2682</v>
      </c>
      <c r="B663" s="154" t="s">
        <v>2683</v>
      </c>
    </row>
    <row r="664" spans="1:2">
      <c r="A664" s="155" t="s">
        <v>2684</v>
      </c>
      <c r="B664" s="154" t="s">
        <v>2685</v>
      </c>
    </row>
    <row r="665" spans="1:2">
      <c r="A665" s="155" t="s">
        <v>2686</v>
      </c>
      <c r="B665" s="154" t="s">
        <v>2687</v>
      </c>
    </row>
    <row r="666" spans="1:2">
      <c r="A666" s="155" t="s">
        <v>2688</v>
      </c>
      <c r="B666" s="154" t="s">
        <v>2689</v>
      </c>
    </row>
    <row r="667" spans="1:2">
      <c r="A667" s="155" t="s">
        <v>2690</v>
      </c>
      <c r="B667" s="154" t="s">
        <v>2691</v>
      </c>
    </row>
    <row r="668" spans="1:2">
      <c r="A668" s="155" t="s">
        <v>2692</v>
      </c>
      <c r="B668" s="154" t="s">
        <v>2693</v>
      </c>
    </row>
    <row r="669" spans="1:2">
      <c r="A669" s="155" t="s">
        <v>2694</v>
      </c>
      <c r="B669" s="154" t="s">
        <v>2695</v>
      </c>
    </row>
    <row r="670" spans="1:2">
      <c r="A670" s="155" t="s">
        <v>2696</v>
      </c>
      <c r="B670" s="154" t="s">
        <v>2697</v>
      </c>
    </row>
    <row r="671" spans="1:2">
      <c r="A671" s="155" t="s">
        <v>2698</v>
      </c>
      <c r="B671" s="154" t="s">
        <v>2699</v>
      </c>
    </row>
    <row r="672" spans="1:2">
      <c r="A672" s="155" t="s">
        <v>2700</v>
      </c>
      <c r="B672" s="154" t="s">
        <v>2701</v>
      </c>
    </row>
    <row r="673" spans="1:2">
      <c r="A673" s="155" t="s">
        <v>1442</v>
      </c>
      <c r="B673" s="154" t="s">
        <v>2702</v>
      </c>
    </row>
    <row r="674" spans="1:2">
      <c r="A674" s="155" t="s">
        <v>2703</v>
      </c>
      <c r="B674" s="154" t="s">
        <v>2704</v>
      </c>
    </row>
    <row r="675" spans="1:2">
      <c r="A675" s="155" t="s">
        <v>2705</v>
      </c>
      <c r="B675" s="154" t="s">
        <v>2706</v>
      </c>
    </row>
    <row r="676" spans="1:2">
      <c r="A676" s="155" t="s">
        <v>2707</v>
      </c>
      <c r="B676" s="154" t="s">
        <v>2708</v>
      </c>
    </row>
    <row r="677" spans="1:2">
      <c r="A677" s="155" t="s">
        <v>2709</v>
      </c>
      <c r="B677" s="154" t="s">
        <v>2710</v>
      </c>
    </row>
    <row r="678" spans="1:2">
      <c r="A678" s="155" t="s">
        <v>2711</v>
      </c>
      <c r="B678" s="154" t="s">
        <v>2712</v>
      </c>
    </row>
    <row r="679" spans="1:2">
      <c r="A679" s="155" t="s">
        <v>2713</v>
      </c>
      <c r="B679" s="154" t="s">
        <v>2714</v>
      </c>
    </row>
    <row r="680" spans="1:2">
      <c r="A680" s="155" t="s">
        <v>2715</v>
      </c>
      <c r="B680" s="154" t="s">
        <v>2716</v>
      </c>
    </row>
    <row r="681" spans="1:2">
      <c r="A681" s="155" t="s">
        <v>2717</v>
      </c>
      <c r="B681" s="154" t="s">
        <v>2718</v>
      </c>
    </row>
    <row r="682" spans="1:2">
      <c r="A682" s="155" t="s">
        <v>2719</v>
      </c>
      <c r="B682" s="154" t="s">
        <v>2720</v>
      </c>
    </row>
    <row r="683" spans="1:2">
      <c r="A683" s="155" t="s">
        <v>2721</v>
      </c>
      <c r="B683" s="154" t="s">
        <v>2722</v>
      </c>
    </row>
    <row r="684" spans="1:2">
      <c r="A684" s="155" t="s">
        <v>2723</v>
      </c>
      <c r="B684" s="154" t="s">
        <v>2724</v>
      </c>
    </row>
    <row r="685" spans="1:2">
      <c r="A685" s="155" t="s">
        <v>2725</v>
      </c>
      <c r="B685" s="154" t="s">
        <v>2726</v>
      </c>
    </row>
    <row r="686" spans="1:2">
      <c r="A686" s="155" t="s">
        <v>2727</v>
      </c>
      <c r="B686" s="154" t="s">
        <v>2728</v>
      </c>
    </row>
    <row r="687" spans="1:2">
      <c r="A687" s="155" t="s">
        <v>2729</v>
      </c>
      <c r="B687" s="154" t="s">
        <v>2730</v>
      </c>
    </row>
    <row r="688" spans="1:2">
      <c r="A688" s="155" t="s">
        <v>2731</v>
      </c>
      <c r="B688" s="154" t="s">
        <v>2732</v>
      </c>
    </row>
    <row r="689" spans="1:2">
      <c r="A689" s="155" t="s">
        <v>2733</v>
      </c>
      <c r="B689" s="154" t="s">
        <v>2734</v>
      </c>
    </row>
    <row r="690" spans="1:2">
      <c r="A690" s="155" t="s">
        <v>2735</v>
      </c>
      <c r="B690" s="154" t="s">
        <v>2736</v>
      </c>
    </row>
    <row r="691" spans="1:2">
      <c r="A691" s="155" t="s">
        <v>2737</v>
      </c>
      <c r="B691" s="154" t="s">
        <v>2738</v>
      </c>
    </row>
    <row r="692" spans="1:2">
      <c r="A692" s="155" t="s">
        <v>2739</v>
      </c>
      <c r="B692" s="154" t="s">
        <v>2740</v>
      </c>
    </row>
    <row r="693" spans="1:2">
      <c r="A693" s="155" t="s">
        <v>2741</v>
      </c>
      <c r="B693" s="154" t="s">
        <v>2742</v>
      </c>
    </row>
    <row r="694" spans="1:2">
      <c r="A694" s="155" t="s">
        <v>2743</v>
      </c>
      <c r="B694" s="154" t="s">
        <v>2744</v>
      </c>
    </row>
    <row r="695" spans="1:2">
      <c r="A695" s="155" t="s">
        <v>2745</v>
      </c>
      <c r="B695" s="154" t="s">
        <v>2746</v>
      </c>
    </row>
    <row r="696" spans="1:2">
      <c r="A696" s="155" t="s">
        <v>2747</v>
      </c>
      <c r="B696" s="154" t="s">
        <v>2748</v>
      </c>
    </row>
    <row r="697" spans="1:2">
      <c r="A697" s="155" t="s">
        <v>2749</v>
      </c>
      <c r="B697" s="154" t="s">
        <v>2750</v>
      </c>
    </row>
    <row r="698" spans="1:2">
      <c r="A698" s="155" t="s">
        <v>2751</v>
      </c>
      <c r="B698" s="154" t="s">
        <v>2752</v>
      </c>
    </row>
    <row r="699" spans="1:2">
      <c r="A699" s="155" t="s">
        <v>2753</v>
      </c>
      <c r="B699" s="154" t="s">
        <v>2754</v>
      </c>
    </row>
    <row r="700" spans="1:2">
      <c r="A700" s="155" t="s">
        <v>2755</v>
      </c>
      <c r="B700" s="154" t="s">
        <v>2756</v>
      </c>
    </row>
    <row r="701" spans="1:2">
      <c r="A701" s="155" t="s">
        <v>2757</v>
      </c>
      <c r="B701" s="154" t="s">
        <v>2758</v>
      </c>
    </row>
    <row r="702" spans="1:2">
      <c r="A702" s="155" t="s">
        <v>2759</v>
      </c>
      <c r="B702" s="154" t="s">
        <v>2760</v>
      </c>
    </row>
    <row r="703" spans="1:2">
      <c r="A703" s="155" t="s">
        <v>2761</v>
      </c>
      <c r="B703" s="154" t="s">
        <v>2762</v>
      </c>
    </row>
    <row r="704" spans="1:2">
      <c r="A704" s="155" t="s">
        <v>2763</v>
      </c>
      <c r="B704" s="154" t="s">
        <v>2764</v>
      </c>
    </row>
    <row r="705" spans="1:2">
      <c r="A705" s="155" t="s">
        <v>2765</v>
      </c>
      <c r="B705" s="154" t="s">
        <v>2766</v>
      </c>
    </row>
    <row r="706" spans="1:2">
      <c r="A706" s="155" t="s">
        <v>2767</v>
      </c>
      <c r="B706" s="154" t="s">
        <v>2768</v>
      </c>
    </row>
    <row r="707" spans="1:2">
      <c r="A707" s="155" t="s">
        <v>2769</v>
      </c>
      <c r="B707" s="154" t="s">
        <v>2770</v>
      </c>
    </row>
    <row r="708" spans="1:2">
      <c r="A708" s="155" t="s">
        <v>2771</v>
      </c>
      <c r="B708" s="154" t="s">
        <v>2772</v>
      </c>
    </row>
    <row r="709" spans="1:2">
      <c r="A709" s="155" t="s">
        <v>2773</v>
      </c>
      <c r="B709" s="154" t="s">
        <v>2774</v>
      </c>
    </row>
    <row r="710" spans="1:2">
      <c r="A710" s="155" t="s">
        <v>2775</v>
      </c>
      <c r="B710" s="154" t="s">
        <v>2776</v>
      </c>
    </row>
    <row r="711" spans="1:2">
      <c r="A711" s="155" t="s">
        <v>2777</v>
      </c>
      <c r="B711" s="154" t="s">
        <v>2778</v>
      </c>
    </row>
    <row r="712" spans="1:2">
      <c r="A712" s="155" t="s">
        <v>2779</v>
      </c>
      <c r="B712" s="154" t="s">
        <v>2780</v>
      </c>
    </row>
    <row r="713" spans="1:2">
      <c r="A713" s="155" t="s">
        <v>2781</v>
      </c>
      <c r="B713" s="154" t="s">
        <v>2782</v>
      </c>
    </row>
    <row r="714" spans="1:2">
      <c r="A714" s="155" t="s">
        <v>2783</v>
      </c>
      <c r="B714" s="154" t="s">
        <v>2784</v>
      </c>
    </row>
    <row r="715" spans="1:2">
      <c r="A715" s="155" t="s">
        <v>2785</v>
      </c>
      <c r="B715" s="154" t="s">
        <v>2786</v>
      </c>
    </row>
    <row r="716" spans="1:2">
      <c r="A716" s="155" t="s">
        <v>2787</v>
      </c>
      <c r="B716" s="154" t="s">
        <v>2788</v>
      </c>
    </row>
    <row r="717" spans="1:2">
      <c r="A717" s="155" t="s">
        <v>2789</v>
      </c>
      <c r="B717" s="154" t="s">
        <v>2790</v>
      </c>
    </row>
    <row r="718" spans="1:2">
      <c r="A718" s="155" t="s">
        <v>2791</v>
      </c>
      <c r="B718" s="154" t="s">
        <v>2792</v>
      </c>
    </row>
    <row r="719" spans="1:2">
      <c r="A719" s="155" t="s">
        <v>2793</v>
      </c>
      <c r="B719" s="154" t="s">
        <v>2794</v>
      </c>
    </row>
    <row r="720" spans="1:2">
      <c r="A720" s="155" t="s">
        <v>2795</v>
      </c>
      <c r="B720" s="154" t="s">
        <v>2796</v>
      </c>
    </row>
    <row r="721" spans="1:2">
      <c r="A721" s="155" t="s">
        <v>2797</v>
      </c>
      <c r="B721" s="154" t="s">
        <v>2798</v>
      </c>
    </row>
    <row r="722" spans="1:2">
      <c r="A722" s="155" t="s">
        <v>2799</v>
      </c>
      <c r="B722" s="154" t="s">
        <v>2800</v>
      </c>
    </row>
    <row r="723" spans="1:2">
      <c r="A723" s="155" t="s">
        <v>2801</v>
      </c>
      <c r="B723" s="154" t="s">
        <v>2802</v>
      </c>
    </row>
    <row r="724" spans="1:2">
      <c r="A724" s="155" t="s">
        <v>2803</v>
      </c>
      <c r="B724" s="154" t="s">
        <v>2804</v>
      </c>
    </row>
    <row r="725" spans="1:2">
      <c r="A725" s="155" t="s">
        <v>2805</v>
      </c>
      <c r="B725" s="154" t="s">
        <v>2806</v>
      </c>
    </row>
    <row r="726" spans="1:2">
      <c r="A726" s="155" t="s">
        <v>2807</v>
      </c>
      <c r="B726" s="154" t="s">
        <v>2808</v>
      </c>
    </row>
    <row r="727" spans="1:2">
      <c r="A727" s="155" t="s">
        <v>2809</v>
      </c>
      <c r="B727" s="154" t="s">
        <v>2810</v>
      </c>
    </row>
    <row r="728" spans="1:2">
      <c r="A728" s="155" t="s">
        <v>2811</v>
      </c>
      <c r="B728" s="154" t="s">
        <v>2812</v>
      </c>
    </row>
    <row r="729" spans="1:2">
      <c r="A729" s="155" t="s">
        <v>2813</v>
      </c>
      <c r="B729" s="154" t="s">
        <v>2814</v>
      </c>
    </row>
    <row r="730" spans="1:2">
      <c r="A730" s="155" t="s">
        <v>2815</v>
      </c>
      <c r="B730" s="154" t="s">
        <v>2816</v>
      </c>
    </row>
    <row r="731" spans="1:2">
      <c r="A731" s="155" t="s">
        <v>2817</v>
      </c>
      <c r="B731" s="154" t="s">
        <v>2818</v>
      </c>
    </row>
    <row r="732" spans="1:2">
      <c r="A732" s="155" t="s">
        <v>2819</v>
      </c>
      <c r="B732" s="154" t="s">
        <v>2820</v>
      </c>
    </row>
    <row r="733" spans="1:2">
      <c r="A733" s="155" t="s">
        <v>2821</v>
      </c>
      <c r="B733" s="154" t="s">
        <v>2822</v>
      </c>
    </row>
    <row r="734" spans="1:2">
      <c r="A734" s="155" t="s">
        <v>2823</v>
      </c>
      <c r="B734" s="154" t="s">
        <v>2824</v>
      </c>
    </row>
    <row r="735" spans="1:2">
      <c r="A735" s="155" t="s">
        <v>2825</v>
      </c>
      <c r="B735" s="154" t="s">
        <v>2826</v>
      </c>
    </row>
    <row r="736" spans="1:2">
      <c r="A736" s="155" t="s">
        <v>2827</v>
      </c>
      <c r="B736" s="154" t="s">
        <v>2828</v>
      </c>
    </row>
    <row r="737" spans="1:2">
      <c r="A737" s="155" t="s">
        <v>2829</v>
      </c>
      <c r="B737" s="154" t="s">
        <v>2830</v>
      </c>
    </row>
    <row r="738" spans="1:2">
      <c r="A738" s="155" t="s">
        <v>2831</v>
      </c>
      <c r="B738" s="154" t="s">
        <v>2832</v>
      </c>
    </row>
    <row r="739" spans="1:2">
      <c r="A739" s="155" t="s">
        <v>2833</v>
      </c>
      <c r="B739" s="154" t="s">
        <v>2834</v>
      </c>
    </row>
    <row r="740" spans="1:2">
      <c r="A740" s="155" t="s">
        <v>2835</v>
      </c>
      <c r="B740" s="154" t="s">
        <v>2836</v>
      </c>
    </row>
    <row r="741" spans="1:2">
      <c r="A741" s="155" t="s">
        <v>2837</v>
      </c>
      <c r="B741" s="154" t="s">
        <v>2838</v>
      </c>
    </row>
    <row r="742" spans="1:2">
      <c r="A742" s="155" t="s">
        <v>2839</v>
      </c>
      <c r="B742" s="154" t="s">
        <v>2840</v>
      </c>
    </row>
    <row r="743" spans="1:2">
      <c r="A743" s="155" t="s">
        <v>2841</v>
      </c>
      <c r="B743" s="154" t="s">
        <v>2842</v>
      </c>
    </row>
    <row r="744" spans="1:2">
      <c r="A744" s="155" t="s">
        <v>2843</v>
      </c>
      <c r="B744" s="154" t="s">
        <v>2844</v>
      </c>
    </row>
    <row r="745" spans="1:2">
      <c r="A745" s="155" t="s">
        <v>2845</v>
      </c>
      <c r="B745" s="154" t="s">
        <v>2846</v>
      </c>
    </row>
    <row r="746" spans="1:2">
      <c r="A746" s="155" t="s">
        <v>2847</v>
      </c>
      <c r="B746" s="154" t="s">
        <v>2848</v>
      </c>
    </row>
    <row r="747" spans="1:2">
      <c r="A747" s="155" t="s">
        <v>2849</v>
      </c>
      <c r="B747" s="154" t="s">
        <v>2114</v>
      </c>
    </row>
    <row r="748" spans="1:2">
      <c r="A748" s="155" t="s">
        <v>2850</v>
      </c>
      <c r="B748" s="154" t="s">
        <v>2851</v>
      </c>
    </row>
    <row r="749" spans="1:2">
      <c r="A749" s="155" t="s">
        <v>2852</v>
      </c>
      <c r="B749" s="154" t="s">
        <v>2853</v>
      </c>
    </row>
    <row r="750" spans="1:2">
      <c r="A750" s="155" t="s">
        <v>2854</v>
      </c>
      <c r="B750" s="154" t="s">
        <v>2855</v>
      </c>
    </row>
    <row r="751" spans="1:2">
      <c r="A751" s="155" t="s">
        <v>2856</v>
      </c>
      <c r="B751" s="154" t="s">
        <v>2857</v>
      </c>
    </row>
    <row r="752" spans="1:2">
      <c r="A752" s="155" t="s">
        <v>2858</v>
      </c>
      <c r="B752" s="154" t="s">
        <v>2859</v>
      </c>
    </row>
    <row r="753" spans="1:2">
      <c r="A753" s="155" t="s">
        <v>2860</v>
      </c>
      <c r="B753" s="154" t="s">
        <v>2861</v>
      </c>
    </row>
    <row r="754" spans="1:2">
      <c r="A754" s="155" t="s">
        <v>2862</v>
      </c>
      <c r="B754" s="154" t="s">
        <v>2863</v>
      </c>
    </row>
    <row r="755" spans="1:2">
      <c r="A755" s="155" t="s">
        <v>2864</v>
      </c>
      <c r="B755" s="154" t="s">
        <v>2865</v>
      </c>
    </row>
    <row r="756" spans="1:2">
      <c r="A756" s="155" t="s">
        <v>2866</v>
      </c>
      <c r="B756" s="154" t="s">
        <v>2867</v>
      </c>
    </row>
    <row r="757" spans="1:2">
      <c r="A757" s="155" t="s">
        <v>2868</v>
      </c>
      <c r="B757" s="154" t="s">
        <v>2869</v>
      </c>
    </row>
    <row r="758" spans="1:2">
      <c r="A758" s="155" t="s">
        <v>2870</v>
      </c>
      <c r="B758" s="154" t="s">
        <v>2871</v>
      </c>
    </row>
    <row r="759" spans="1:2">
      <c r="A759" s="155" t="s">
        <v>2872</v>
      </c>
      <c r="B759" s="154" t="s">
        <v>2873</v>
      </c>
    </row>
    <row r="760" spans="1:2">
      <c r="A760" s="155" t="s">
        <v>2874</v>
      </c>
      <c r="B760" s="154" t="s">
        <v>2875</v>
      </c>
    </row>
    <row r="761" spans="1:2">
      <c r="A761" s="155" t="s">
        <v>2876</v>
      </c>
      <c r="B761" s="154" t="s">
        <v>2877</v>
      </c>
    </row>
    <row r="762" spans="1:2">
      <c r="A762" s="155" t="s">
        <v>2878</v>
      </c>
      <c r="B762" s="154" t="s">
        <v>2879</v>
      </c>
    </row>
    <row r="763" spans="1:2">
      <c r="A763" s="155" t="s">
        <v>2880</v>
      </c>
      <c r="B763" s="154" t="s">
        <v>2881</v>
      </c>
    </row>
    <row r="764" spans="1:2">
      <c r="A764" s="155" t="s">
        <v>2882</v>
      </c>
      <c r="B764" s="154" t="s">
        <v>2883</v>
      </c>
    </row>
    <row r="765" spans="1:2">
      <c r="A765" s="155" t="s">
        <v>2884</v>
      </c>
      <c r="B765" s="154" t="s">
        <v>2885</v>
      </c>
    </row>
    <row r="766" spans="1:2">
      <c r="A766" s="155" t="s">
        <v>2886</v>
      </c>
      <c r="B766" s="154" t="s">
        <v>2887</v>
      </c>
    </row>
    <row r="767" spans="1:2">
      <c r="A767" s="155" t="s">
        <v>2888</v>
      </c>
      <c r="B767" s="154" t="s">
        <v>2889</v>
      </c>
    </row>
    <row r="768" spans="1:2">
      <c r="A768" s="155" t="s">
        <v>2890</v>
      </c>
      <c r="B768" s="154" t="s">
        <v>2891</v>
      </c>
    </row>
    <row r="769" spans="1:2">
      <c r="A769" s="155" t="s">
        <v>2892</v>
      </c>
      <c r="B769" s="154" t="s">
        <v>2893</v>
      </c>
    </row>
    <row r="770" spans="1:2">
      <c r="A770" s="155" t="s">
        <v>2894</v>
      </c>
      <c r="B770" s="154" t="s">
        <v>2895</v>
      </c>
    </row>
    <row r="771" spans="1:2">
      <c r="A771" s="155" t="s">
        <v>2896</v>
      </c>
      <c r="B771" s="154" t="s">
        <v>2897</v>
      </c>
    </row>
    <row r="772" spans="1:2">
      <c r="A772" s="155" t="s">
        <v>2898</v>
      </c>
      <c r="B772" s="154" t="s">
        <v>2899</v>
      </c>
    </row>
    <row r="773" spans="1:2">
      <c r="A773" s="155" t="s">
        <v>2900</v>
      </c>
      <c r="B773" s="154" t="s">
        <v>2901</v>
      </c>
    </row>
    <row r="774" spans="1:2">
      <c r="A774" s="155" t="s">
        <v>2902</v>
      </c>
      <c r="B774" s="154" t="s">
        <v>2903</v>
      </c>
    </row>
    <row r="775" spans="1:2">
      <c r="A775" s="155" t="s">
        <v>2904</v>
      </c>
      <c r="B775" s="154" t="s">
        <v>2905</v>
      </c>
    </row>
    <row r="776" spans="1:2">
      <c r="A776" s="155" t="s">
        <v>2906</v>
      </c>
      <c r="B776" s="154" t="s">
        <v>2907</v>
      </c>
    </row>
    <row r="777" spans="1:2">
      <c r="A777" s="155" t="s">
        <v>2908</v>
      </c>
      <c r="B777" s="154" t="s">
        <v>2909</v>
      </c>
    </row>
    <row r="778" spans="1:2">
      <c r="A778" s="155" t="s">
        <v>2910</v>
      </c>
      <c r="B778" s="154" t="s">
        <v>2911</v>
      </c>
    </row>
    <row r="779" spans="1:2">
      <c r="A779" s="155" t="s">
        <v>2912</v>
      </c>
      <c r="B779" s="154" t="s">
        <v>2913</v>
      </c>
    </row>
    <row r="780" spans="1:2">
      <c r="A780" s="155" t="s">
        <v>2914</v>
      </c>
      <c r="B780" s="154" t="s">
        <v>2915</v>
      </c>
    </row>
    <row r="781" spans="1:2">
      <c r="A781" s="155" t="s">
        <v>2916</v>
      </c>
      <c r="B781" s="154" t="s">
        <v>2859</v>
      </c>
    </row>
    <row r="782" spans="1:2">
      <c r="A782" s="155" t="s">
        <v>2917</v>
      </c>
      <c r="B782" s="154" t="s">
        <v>2865</v>
      </c>
    </row>
    <row r="783" spans="1:2">
      <c r="A783" s="155" t="s">
        <v>2918</v>
      </c>
      <c r="B783" s="154" t="s">
        <v>2919</v>
      </c>
    </row>
    <row r="784" spans="1:2">
      <c r="A784" s="155" t="s">
        <v>2920</v>
      </c>
      <c r="B784" s="154" t="s">
        <v>2921</v>
      </c>
    </row>
    <row r="785" spans="1:2">
      <c r="A785" s="155" t="s">
        <v>2922</v>
      </c>
      <c r="B785" s="154" t="s">
        <v>2923</v>
      </c>
    </row>
    <row r="786" spans="1:2">
      <c r="A786" s="155" t="s">
        <v>2924</v>
      </c>
      <c r="B786" s="154" t="s">
        <v>2925</v>
      </c>
    </row>
    <row r="787" spans="1:2">
      <c r="A787" s="155" t="s">
        <v>2926</v>
      </c>
      <c r="B787" s="154" t="s">
        <v>2927</v>
      </c>
    </row>
    <row r="788" spans="1:2">
      <c r="A788" s="155" t="s">
        <v>2928</v>
      </c>
      <c r="B788" s="154" t="s">
        <v>2929</v>
      </c>
    </row>
    <row r="789" spans="1:2">
      <c r="A789" s="155" t="s">
        <v>2930</v>
      </c>
      <c r="B789" s="154" t="s">
        <v>2931</v>
      </c>
    </row>
    <row r="790" spans="1:2">
      <c r="A790" s="155" t="s">
        <v>2932</v>
      </c>
      <c r="B790" s="154" t="s">
        <v>2933</v>
      </c>
    </row>
    <row r="791" spans="1:2">
      <c r="A791" s="155" t="s">
        <v>2934</v>
      </c>
      <c r="B791" s="154" t="s">
        <v>2935</v>
      </c>
    </row>
    <row r="792" spans="1:2">
      <c r="A792" s="155" t="s">
        <v>2936</v>
      </c>
      <c r="B792" s="154" t="s">
        <v>2937</v>
      </c>
    </row>
    <row r="793" spans="1:2">
      <c r="A793" s="155" t="s">
        <v>2938</v>
      </c>
      <c r="B793" s="154" t="s">
        <v>2939</v>
      </c>
    </row>
    <row r="794" spans="1:2">
      <c r="A794" s="155" t="s">
        <v>2940</v>
      </c>
      <c r="B794" s="154" t="s">
        <v>2941</v>
      </c>
    </row>
    <row r="795" spans="1:2">
      <c r="A795" s="155" t="s">
        <v>2942</v>
      </c>
      <c r="B795" s="154" t="s">
        <v>2943</v>
      </c>
    </row>
    <row r="796" spans="1:2">
      <c r="A796" s="155" t="s">
        <v>2944</v>
      </c>
      <c r="B796" s="154" t="s">
        <v>2945</v>
      </c>
    </row>
    <row r="797" spans="1:2">
      <c r="A797" s="155" t="s">
        <v>2946</v>
      </c>
      <c r="B797" s="154" t="s">
        <v>2947</v>
      </c>
    </row>
    <row r="798" spans="1:2">
      <c r="A798" s="155" t="s">
        <v>2948</v>
      </c>
      <c r="B798" s="154" t="s">
        <v>2949</v>
      </c>
    </row>
    <row r="799" spans="1:2">
      <c r="A799" s="155" t="s">
        <v>2950</v>
      </c>
      <c r="B799" s="154" t="s">
        <v>2951</v>
      </c>
    </row>
    <row r="800" spans="1:2">
      <c r="A800" s="155" t="s">
        <v>2952</v>
      </c>
      <c r="B800" s="154" t="s">
        <v>2953</v>
      </c>
    </row>
    <row r="801" spans="1:2">
      <c r="A801" s="155" t="s">
        <v>2954</v>
      </c>
      <c r="B801" s="154" t="s">
        <v>2955</v>
      </c>
    </row>
    <row r="802" spans="1:2">
      <c r="A802" s="155" t="s">
        <v>2956</v>
      </c>
      <c r="B802" s="154" t="s">
        <v>2957</v>
      </c>
    </row>
    <row r="803" spans="1:2">
      <c r="A803" s="155" t="s">
        <v>2958</v>
      </c>
      <c r="B803" s="154" t="s">
        <v>2959</v>
      </c>
    </row>
    <row r="804" spans="1:2">
      <c r="A804" s="155" t="s">
        <v>2960</v>
      </c>
      <c r="B804" s="154" t="s">
        <v>2961</v>
      </c>
    </row>
    <row r="805" spans="1:2">
      <c r="A805" s="155" t="s">
        <v>2962</v>
      </c>
      <c r="B805" s="154" t="s">
        <v>2963</v>
      </c>
    </row>
    <row r="806" spans="1:2">
      <c r="A806" s="155" t="s">
        <v>2964</v>
      </c>
      <c r="B806" s="154" t="s">
        <v>2965</v>
      </c>
    </row>
    <row r="807" spans="1:2">
      <c r="A807" s="155" t="s">
        <v>2966</v>
      </c>
      <c r="B807" s="154" t="s">
        <v>2967</v>
      </c>
    </row>
    <row r="808" spans="1:2">
      <c r="A808" s="155" t="s">
        <v>2968</v>
      </c>
      <c r="B808" s="154" t="s">
        <v>2969</v>
      </c>
    </row>
    <row r="809" spans="1:2">
      <c r="A809" s="155" t="s">
        <v>2970</v>
      </c>
      <c r="B809" s="154" t="s">
        <v>2971</v>
      </c>
    </row>
    <row r="810" spans="1:2">
      <c r="A810" s="155" t="s">
        <v>2972</v>
      </c>
      <c r="B810" s="154" t="s">
        <v>2973</v>
      </c>
    </row>
    <row r="811" spans="1:2">
      <c r="A811" s="155" t="s">
        <v>2974</v>
      </c>
      <c r="B811" s="154" t="s">
        <v>2975</v>
      </c>
    </row>
    <row r="812" spans="1:2">
      <c r="A812" s="155" t="s">
        <v>2976</v>
      </c>
      <c r="B812" s="154" t="s">
        <v>2977</v>
      </c>
    </row>
    <row r="813" spans="1:2">
      <c r="A813" s="155" t="s">
        <v>2978</v>
      </c>
      <c r="B813" s="154" t="s">
        <v>2979</v>
      </c>
    </row>
    <row r="814" spans="1:2">
      <c r="A814" s="155" t="s">
        <v>2980</v>
      </c>
      <c r="B814" s="154" t="s">
        <v>2981</v>
      </c>
    </row>
    <row r="815" spans="1:2">
      <c r="A815" s="155" t="s">
        <v>2982</v>
      </c>
      <c r="B815" s="154" t="s">
        <v>2983</v>
      </c>
    </row>
    <row r="816" spans="1:2">
      <c r="A816" s="155" t="s">
        <v>2984</v>
      </c>
      <c r="B816" s="154" t="s">
        <v>2740</v>
      </c>
    </row>
    <row r="817" spans="1:2">
      <c r="A817" s="155" t="s">
        <v>2985</v>
      </c>
      <c r="B817" s="154" t="s">
        <v>2986</v>
      </c>
    </row>
    <row r="818" spans="1:2">
      <c r="A818" s="155" t="s">
        <v>2987</v>
      </c>
      <c r="B818" s="154" t="s">
        <v>2988</v>
      </c>
    </row>
    <row r="819" spans="1:2">
      <c r="A819" s="155" t="s">
        <v>2989</v>
      </c>
      <c r="B819" s="154" t="s">
        <v>2990</v>
      </c>
    </row>
    <row r="820" spans="1:2">
      <c r="A820" s="155" t="s">
        <v>2991</v>
      </c>
      <c r="B820" s="154" t="s">
        <v>2992</v>
      </c>
    </row>
    <row r="821" spans="1:2">
      <c r="A821" s="155" t="s">
        <v>2993</v>
      </c>
      <c r="B821" s="154" t="s">
        <v>2994</v>
      </c>
    </row>
    <row r="822" spans="1:2">
      <c r="A822" s="155" t="s">
        <v>2995</v>
      </c>
      <c r="B822" s="154" t="s">
        <v>2996</v>
      </c>
    </row>
    <row r="823" spans="1:2">
      <c r="A823" s="155" t="s">
        <v>2997</v>
      </c>
      <c r="B823" s="154" t="s">
        <v>2998</v>
      </c>
    </row>
    <row r="824" spans="1:2">
      <c r="A824" s="155" t="s">
        <v>2999</v>
      </c>
      <c r="B824" s="154" t="s">
        <v>3000</v>
      </c>
    </row>
    <row r="825" spans="1:2">
      <c r="A825" s="155" t="s">
        <v>3001</v>
      </c>
      <c r="B825" s="154" t="s">
        <v>3002</v>
      </c>
    </row>
    <row r="826" spans="1:2">
      <c r="A826" s="155" t="s">
        <v>3003</v>
      </c>
      <c r="B826" s="154" t="s">
        <v>3004</v>
      </c>
    </row>
    <row r="827" spans="1:2">
      <c r="A827" s="155" t="s">
        <v>3005</v>
      </c>
      <c r="B827" s="154" t="s">
        <v>3006</v>
      </c>
    </row>
    <row r="828" spans="1:2">
      <c r="A828" s="155" t="s">
        <v>3007</v>
      </c>
      <c r="B828" s="154" t="s">
        <v>3008</v>
      </c>
    </row>
    <row r="829" spans="1:2">
      <c r="A829" s="155" t="s">
        <v>3009</v>
      </c>
      <c r="B829" s="154" t="s">
        <v>3010</v>
      </c>
    </row>
    <row r="830" spans="1:2">
      <c r="A830" s="155" t="s">
        <v>3011</v>
      </c>
      <c r="B830" s="154" t="s">
        <v>3012</v>
      </c>
    </row>
    <row r="831" spans="1:2">
      <c r="A831" s="155" t="s">
        <v>3013</v>
      </c>
      <c r="B831" s="154" t="s">
        <v>3014</v>
      </c>
    </row>
    <row r="832" spans="1:2">
      <c r="A832" s="155" t="s">
        <v>3015</v>
      </c>
      <c r="B832" s="154" t="s">
        <v>3016</v>
      </c>
    </row>
    <row r="833" spans="1:2">
      <c r="A833" s="155" t="s">
        <v>3017</v>
      </c>
      <c r="B833" s="154" t="s">
        <v>3018</v>
      </c>
    </row>
    <row r="834" spans="1:2">
      <c r="A834" s="155" t="s">
        <v>3019</v>
      </c>
      <c r="B834" s="154" t="s">
        <v>3020</v>
      </c>
    </row>
    <row r="835" spans="1:2">
      <c r="A835" s="155" t="s">
        <v>3021</v>
      </c>
      <c r="B835" s="154" t="s">
        <v>3022</v>
      </c>
    </row>
    <row r="836" spans="1:2">
      <c r="A836" s="155" t="s">
        <v>3023</v>
      </c>
      <c r="B836" s="154" t="s">
        <v>3024</v>
      </c>
    </row>
    <row r="837" spans="1:2">
      <c r="A837" s="155" t="s">
        <v>3025</v>
      </c>
      <c r="B837" s="154" t="s">
        <v>3026</v>
      </c>
    </row>
    <row r="838" spans="1:2">
      <c r="A838" s="155" t="s">
        <v>3027</v>
      </c>
      <c r="B838" s="154" t="s">
        <v>3028</v>
      </c>
    </row>
    <row r="839" spans="1:2">
      <c r="A839" s="155" t="s">
        <v>3029</v>
      </c>
      <c r="B839" s="154" t="s">
        <v>3030</v>
      </c>
    </row>
    <row r="840" spans="1:2">
      <c r="A840" s="155" t="s">
        <v>3031</v>
      </c>
      <c r="B840" s="154" t="s">
        <v>3032</v>
      </c>
    </row>
    <row r="841" spans="1:2">
      <c r="A841" s="155" t="s">
        <v>3033</v>
      </c>
      <c r="B841" s="154" t="s">
        <v>3034</v>
      </c>
    </row>
    <row r="842" spans="1:2">
      <c r="A842" s="155" t="s">
        <v>3035</v>
      </c>
      <c r="B842" s="154" t="s">
        <v>3036</v>
      </c>
    </row>
    <row r="843" spans="1:2">
      <c r="A843" s="155" t="s">
        <v>3037</v>
      </c>
      <c r="B843" s="154" t="s">
        <v>3038</v>
      </c>
    </row>
    <row r="844" spans="1:2">
      <c r="A844" s="155" t="s">
        <v>3039</v>
      </c>
      <c r="B844" s="154" t="s">
        <v>3040</v>
      </c>
    </row>
    <row r="845" spans="1:2">
      <c r="A845" s="155" t="s">
        <v>3041</v>
      </c>
      <c r="B845" s="154" t="s">
        <v>3042</v>
      </c>
    </row>
    <row r="846" spans="1:2">
      <c r="A846" s="155" t="s">
        <v>3043</v>
      </c>
      <c r="B846" s="154" t="s">
        <v>2901</v>
      </c>
    </row>
    <row r="847" spans="1:2">
      <c r="A847" s="155" t="s">
        <v>3044</v>
      </c>
      <c r="B847" s="154" t="s">
        <v>1943</v>
      </c>
    </row>
    <row r="848" spans="1:2">
      <c r="A848" s="155" t="s">
        <v>3045</v>
      </c>
      <c r="B848" s="154" t="s">
        <v>3046</v>
      </c>
    </row>
    <row r="849" spans="1:2">
      <c r="A849" s="155" t="s">
        <v>3047</v>
      </c>
      <c r="B849" s="154" t="s">
        <v>3048</v>
      </c>
    </row>
    <row r="850" spans="1:2">
      <c r="A850" s="155" t="s">
        <v>3049</v>
      </c>
      <c r="B850" s="154" t="s">
        <v>3050</v>
      </c>
    </row>
    <row r="851" spans="1:2">
      <c r="A851" s="155" t="s">
        <v>3051</v>
      </c>
      <c r="B851" s="154" t="s">
        <v>3052</v>
      </c>
    </row>
    <row r="852" spans="1:2">
      <c r="A852" s="155" t="s">
        <v>3053</v>
      </c>
      <c r="B852" s="154" t="s">
        <v>3054</v>
      </c>
    </row>
    <row r="853" spans="1:2">
      <c r="A853" s="155" t="s">
        <v>3055</v>
      </c>
      <c r="B853" s="154" t="s">
        <v>3056</v>
      </c>
    </row>
    <row r="854" spans="1:2">
      <c r="A854" s="155" t="s">
        <v>3057</v>
      </c>
      <c r="B854" s="154" t="s">
        <v>2574</v>
      </c>
    </row>
    <row r="855" spans="1:2">
      <c r="A855" s="155" t="s">
        <v>3058</v>
      </c>
      <c r="B855" s="154" t="s">
        <v>3059</v>
      </c>
    </row>
    <row r="856" spans="1:2">
      <c r="A856" s="155" t="s">
        <v>3060</v>
      </c>
      <c r="B856" s="154" t="s">
        <v>3061</v>
      </c>
    </row>
    <row r="857" spans="1:2">
      <c r="A857" s="155" t="s">
        <v>3062</v>
      </c>
      <c r="B857" s="154" t="s">
        <v>3063</v>
      </c>
    </row>
    <row r="858" spans="1:2">
      <c r="A858" s="155" t="s">
        <v>3064</v>
      </c>
      <c r="B858" s="154" t="s">
        <v>3065</v>
      </c>
    </row>
    <row r="859" spans="1:2">
      <c r="A859" s="155" t="s">
        <v>3066</v>
      </c>
      <c r="B859" s="154" t="s">
        <v>3067</v>
      </c>
    </row>
    <row r="860" spans="1:2">
      <c r="A860" s="155" t="s">
        <v>3068</v>
      </c>
      <c r="B860" s="154" t="s">
        <v>3069</v>
      </c>
    </row>
    <row r="861" spans="1:2">
      <c r="A861" s="155" t="s">
        <v>3070</v>
      </c>
      <c r="B861" s="154" t="s">
        <v>3071</v>
      </c>
    </row>
    <row r="862" spans="1:2">
      <c r="A862" s="155" t="s">
        <v>3072</v>
      </c>
      <c r="B862" s="154" t="s">
        <v>3073</v>
      </c>
    </row>
    <row r="863" spans="1:2">
      <c r="A863" s="155" t="s">
        <v>3074</v>
      </c>
      <c r="B863" s="154" t="s">
        <v>3075</v>
      </c>
    </row>
    <row r="864" spans="1:2">
      <c r="A864" s="155" t="s">
        <v>3076</v>
      </c>
      <c r="B864" s="154" t="s">
        <v>3077</v>
      </c>
    </row>
    <row r="865" spans="1:2">
      <c r="A865" s="155" t="s">
        <v>3078</v>
      </c>
      <c r="B865" s="154" t="s">
        <v>3079</v>
      </c>
    </row>
    <row r="866" spans="1:2">
      <c r="A866" s="155" t="s">
        <v>3080</v>
      </c>
      <c r="B866" s="154" t="s">
        <v>3081</v>
      </c>
    </row>
    <row r="867" spans="1:2">
      <c r="A867" s="155" t="s">
        <v>3082</v>
      </c>
      <c r="B867" s="154" t="s">
        <v>3083</v>
      </c>
    </row>
    <row r="868" spans="1:2">
      <c r="A868" s="155" t="s">
        <v>3084</v>
      </c>
      <c r="B868" s="154" t="s">
        <v>3085</v>
      </c>
    </row>
    <row r="869" spans="1:2">
      <c r="A869" s="155" t="s">
        <v>3086</v>
      </c>
      <c r="B869" s="154" t="s">
        <v>3087</v>
      </c>
    </row>
    <row r="870" spans="1:2">
      <c r="A870" s="155" t="s">
        <v>1445</v>
      </c>
      <c r="B870" s="154" t="s">
        <v>3088</v>
      </c>
    </row>
    <row r="871" spans="1:2">
      <c r="A871" s="155" t="s">
        <v>1456</v>
      </c>
      <c r="B871" s="154" t="s">
        <v>3089</v>
      </c>
    </row>
    <row r="872" spans="1:2">
      <c r="A872" s="155" t="s">
        <v>3090</v>
      </c>
      <c r="B872" s="154" t="s">
        <v>3091</v>
      </c>
    </row>
    <row r="873" spans="1:2">
      <c r="A873" s="155" t="s">
        <v>3092</v>
      </c>
      <c r="B873" s="154" t="s">
        <v>3093</v>
      </c>
    </row>
    <row r="874" spans="1:2">
      <c r="A874" s="155" t="s">
        <v>3094</v>
      </c>
      <c r="B874" s="154" t="s">
        <v>3095</v>
      </c>
    </row>
    <row r="875" spans="1:2">
      <c r="A875" s="155" t="s">
        <v>3096</v>
      </c>
      <c r="B875" s="154" t="s">
        <v>3097</v>
      </c>
    </row>
    <row r="876" spans="1:2">
      <c r="A876" s="155" t="s">
        <v>3098</v>
      </c>
      <c r="B876" s="154" t="s">
        <v>3099</v>
      </c>
    </row>
    <row r="877" spans="1:2">
      <c r="A877" s="155" t="s">
        <v>3100</v>
      </c>
      <c r="B877" s="154" t="s">
        <v>3101</v>
      </c>
    </row>
    <row r="878" spans="1:2">
      <c r="A878" s="155" t="s">
        <v>3102</v>
      </c>
      <c r="B878" s="154" t="s">
        <v>3103</v>
      </c>
    </row>
    <row r="879" spans="1:2">
      <c r="A879" s="155" t="s">
        <v>3104</v>
      </c>
      <c r="B879" s="154" t="s">
        <v>3105</v>
      </c>
    </row>
    <row r="880" spans="1:2">
      <c r="A880" s="155" t="s">
        <v>3106</v>
      </c>
      <c r="B880" s="154" t="s">
        <v>3107</v>
      </c>
    </row>
    <row r="881" spans="1:2">
      <c r="A881" s="155" t="s">
        <v>3108</v>
      </c>
      <c r="B881" s="154" t="s">
        <v>3109</v>
      </c>
    </row>
    <row r="882" spans="1:2">
      <c r="A882" s="155" t="s">
        <v>3110</v>
      </c>
      <c r="B882" s="154" t="s">
        <v>3111</v>
      </c>
    </row>
    <row r="883" spans="1:2">
      <c r="A883" s="155" t="s">
        <v>3112</v>
      </c>
      <c r="B883" s="154" t="s">
        <v>3113</v>
      </c>
    </row>
    <row r="884" spans="1:2">
      <c r="A884" s="155" t="s">
        <v>3114</v>
      </c>
      <c r="B884" s="154" t="s">
        <v>3115</v>
      </c>
    </row>
    <row r="885" spans="1:2">
      <c r="A885" s="155" t="s">
        <v>3116</v>
      </c>
      <c r="B885" s="154" t="s">
        <v>3117</v>
      </c>
    </row>
    <row r="886" spans="1:2">
      <c r="A886" s="155" t="s">
        <v>3118</v>
      </c>
      <c r="B886" s="154" t="s">
        <v>3119</v>
      </c>
    </row>
    <row r="887" spans="1:2">
      <c r="A887" s="155" t="s">
        <v>3120</v>
      </c>
      <c r="B887" s="154" t="s">
        <v>3121</v>
      </c>
    </row>
    <row r="888" spans="1:2">
      <c r="A888" s="155" t="s">
        <v>3122</v>
      </c>
      <c r="B888" s="154" t="s">
        <v>3123</v>
      </c>
    </row>
    <row r="889" spans="1:2">
      <c r="A889" s="155" t="s">
        <v>3124</v>
      </c>
      <c r="B889" s="154" t="s">
        <v>3125</v>
      </c>
    </row>
    <row r="890" spans="1:2">
      <c r="A890" s="155" t="s">
        <v>3126</v>
      </c>
      <c r="B890" s="154" t="s">
        <v>3127</v>
      </c>
    </row>
    <row r="891" spans="1:2">
      <c r="A891" s="155" t="s">
        <v>3128</v>
      </c>
      <c r="B891" s="154" t="s">
        <v>3129</v>
      </c>
    </row>
    <row r="892" spans="1:2">
      <c r="A892" s="155" t="s">
        <v>3130</v>
      </c>
      <c r="B892" s="154" t="s">
        <v>3131</v>
      </c>
    </row>
    <row r="893" spans="1:2">
      <c r="A893" s="155" t="s">
        <v>3132</v>
      </c>
      <c r="B893" s="154" t="s">
        <v>3133</v>
      </c>
    </row>
    <row r="894" spans="1:2">
      <c r="A894" s="155" t="s">
        <v>3134</v>
      </c>
      <c r="B894" s="154" t="s">
        <v>3135</v>
      </c>
    </row>
    <row r="895" spans="1:2">
      <c r="A895" s="155" t="s">
        <v>3136</v>
      </c>
      <c r="B895" s="154" t="s">
        <v>3137</v>
      </c>
    </row>
    <row r="896" spans="1:2">
      <c r="A896" s="155" t="s">
        <v>3138</v>
      </c>
      <c r="B896" s="154" t="s">
        <v>3139</v>
      </c>
    </row>
    <row r="897" spans="1:2">
      <c r="A897" s="155" t="s">
        <v>3140</v>
      </c>
      <c r="B897" s="154" t="s">
        <v>3141</v>
      </c>
    </row>
    <row r="898" spans="1:2">
      <c r="A898" s="155" t="s">
        <v>3142</v>
      </c>
      <c r="B898" s="154" t="s">
        <v>3143</v>
      </c>
    </row>
    <row r="899" spans="1:2">
      <c r="A899" s="155" t="s">
        <v>3144</v>
      </c>
      <c r="B899" s="154" t="s">
        <v>3145</v>
      </c>
    </row>
    <row r="900" spans="1:2">
      <c r="A900" s="155" t="s">
        <v>3146</v>
      </c>
      <c r="B900" s="154" t="s">
        <v>3147</v>
      </c>
    </row>
    <row r="901" spans="1:2">
      <c r="A901" s="155" t="s">
        <v>3148</v>
      </c>
      <c r="B901" s="154" t="s">
        <v>3149</v>
      </c>
    </row>
    <row r="902" spans="1:2">
      <c r="A902" s="155" t="s">
        <v>3150</v>
      </c>
      <c r="B902" s="154" t="s">
        <v>3151</v>
      </c>
    </row>
    <row r="903" spans="1:2">
      <c r="A903" s="155" t="s">
        <v>3152</v>
      </c>
      <c r="B903" s="154" t="s">
        <v>3153</v>
      </c>
    </row>
    <row r="904" spans="1:2">
      <c r="A904" s="155" t="s">
        <v>3154</v>
      </c>
      <c r="B904" s="154" t="s">
        <v>3155</v>
      </c>
    </row>
    <row r="905" spans="1:2">
      <c r="A905" s="155" t="s">
        <v>3156</v>
      </c>
      <c r="B905" s="154" t="s">
        <v>3157</v>
      </c>
    </row>
    <row r="906" spans="1:2">
      <c r="A906" s="155" t="s">
        <v>3158</v>
      </c>
      <c r="B906" s="154" t="s">
        <v>3159</v>
      </c>
    </row>
    <row r="907" spans="1:2">
      <c r="A907" s="155" t="s">
        <v>3160</v>
      </c>
      <c r="B907" s="154" t="s">
        <v>3161</v>
      </c>
    </row>
    <row r="908" spans="1:2">
      <c r="A908" s="155" t="s">
        <v>3162</v>
      </c>
      <c r="B908" s="154" t="s">
        <v>3163</v>
      </c>
    </row>
    <row r="909" spans="1:2">
      <c r="A909" s="155" t="s">
        <v>3164</v>
      </c>
      <c r="B909" s="154" t="s">
        <v>3165</v>
      </c>
    </row>
    <row r="910" spans="1:2">
      <c r="A910" s="155" t="s">
        <v>3166</v>
      </c>
      <c r="B910" s="154" t="s">
        <v>3167</v>
      </c>
    </row>
    <row r="911" spans="1:2">
      <c r="A911" s="155" t="s">
        <v>3168</v>
      </c>
      <c r="B911" s="154" t="s">
        <v>1611</v>
      </c>
    </row>
    <row r="912" spans="1:2">
      <c r="A912" s="155" t="s">
        <v>3169</v>
      </c>
      <c r="B912" s="154" t="s">
        <v>1530</v>
      </c>
    </row>
    <row r="913" spans="1:2">
      <c r="A913" s="155" t="s">
        <v>3170</v>
      </c>
      <c r="B913" s="154" t="s">
        <v>3171</v>
      </c>
    </row>
    <row r="914" spans="1:2">
      <c r="A914" s="155" t="s">
        <v>3172</v>
      </c>
      <c r="B914" s="154" t="s">
        <v>3173</v>
      </c>
    </row>
    <row r="915" spans="1:2">
      <c r="A915" s="155" t="s">
        <v>3174</v>
      </c>
      <c r="B915" s="154" t="s">
        <v>1401</v>
      </c>
    </row>
    <row r="916" spans="1:2">
      <c r="A916" s="155" t="s">
        <v>3175</v>
      </c>
      <c r="B916" s="154" t="s">
        <v>1494</v>
      </c>
    </row>
    <row r="917" spans="1:2">
      <c r="A917" s="155" t="s">
        <v>3176</v>
      </c>
      <c r="B917" s="154" t="s">
        <v>3177</v>
      </c>
    </row>
    <row r="918" spans="1:2">
      <c r="A918" s="155" t="s">
        <v>3178</v>
      </c>
      <c r="B918" s="154" t="s">
        <v>3179</v>
      </c>
    </row>
    <row r="919" spans="1:2">
      <c r="A919" s="150" t="s">
        <v>1105</v>
      </c>
      <c r="B919" s="151" t="s">
        <v>1106</v>
      </c>
    </row>
    <row r="920" spans="1:2">
      <c r="A920" s="155" t="s">
        <v>3180</v>
      </c>
      <c r="B920" s="154" t="s">
        <v>3181</v>
      </c>
    </row>
    <row r="921" spans="1:2">
      <c r="A921" s="155" t="s">
        <v>3182</v>
      </c>
      <c r="B921" s="154" t="s">
        <v>3183</v>
      </c>
    </row>
    <row r="922" spans="1:2">
      <c r="A922" s="155" t="s">
        <v>3184</v>
      </c>
      <c r="B922" s="154" t="s">
        <v>3185</v>
      </c>
    </row>
    <row r="923" spans="1:2">
      <c r="A923" s="155" t="s">
        <v>3186</v>
      </c>
      <c r="B923" s="154" t="s">
        <v>3187</v>
      </c>
    </row>
    <row r="924" spans="1:2">
      <c r="A924" s="155" t="s">
        <v>3188</v>
      </c>
      <c r="B924" s="154" t="s">
        <v>3189</v>
      </c>
    </row>
    <row r="925" spans="1:2">
      <c r="A925" s="155" t="s">
        <v>3190</v>
      </c>
      <c r="B925" s="154" t="s">
        <v>3191</v>
      </c>
    </row>
    <row r="926" spans="1:2">
      <c r="A926" s="155" t="s">
        <v>3192</v>
      </c>
      <c r="B926" s="154" t="s">
        <v>3028</v>
      </c>
    </row>
    <row r="927" spans="1:2">
      <c r="A927" s="155" t="s">
        <v>3193</v>
      </c>
      <c r="B927" s="154" t="s">
        <v>3194</v>
      </c>
    </row>
    <row r="928" spans="1:2">
      <c r="A928" s="155" t="s">
        <v>3195</v>
      </c>
      <c r="B928" s="154" t="s">
        <v>3196</v>
      </c>
    </row>
    <row r="929" spans="1:2">
      <c r="A929" s="155" t="s">
        <v>3197</v>
      </c>
      <c r="B929" s="154" t="s">
        <v>3198</v>
      </c>
    </row>
    <row r="930" spans="1:2">
      <c r="A930" s="155" t="s">
        <v>3199</v>
      </c>
      <c r="B930" s="154" t="s">
        <v>3200</v>
      </c>
    </row>
    <row r="931" spans="1:2">
      <c r="A931" s="150" t="s">
        <v>1130</v>
      </c>
      <c r="B931" s="151" t="s">
        <v>1131</v>
      </c>
    </row>
    <row r="932" spans="1:2">
      <c r="A932" s="155" t="s">
        <v>3201</v>
      </c>
      <c r="B932" s="154" t="s">
        <v>3202</v>
      </c>
    </row>
    <row r="933" spans="1:2">
      <c r="A933" s="155" t="s">
        <v>3203</v>
      </c>
      <c r="B933" s="154" t="s">
        <v>3204</v>
      </c>
    </row>
    <row r="934" spans="1:2">
      <c r="A934" s="155" t="s">
        <v>3205</v>
      </c>
      <c r="B934" s="154" t="s">
        <v>3206</v>
      </c>
    </row>
    <row r="935" spans="1:2">
      <c r="A935" s="155" t="s">
        <v>3207</v>
      </c>
      <c r="B935" s="154" t="s">
        <v>3208</v>
      </c>
    </row>
    <row r="936" spans="1:2">
      <c r="A936" s="155" t="s">
        <v>3209</v>
      </c>
      <c r="B936" s="154" t="s">
        <v>3210</v>
      </c>
    </row>
    <row r="937" spans="1:2">
      <c r="A937" s="155" t="s">
        <v>3211</v>
      </c>
      <c r="B937" s="154" t="s">
        <v>3212</v>
      </c>
    </row>
    <row r="938" spans="1:2">
      <c r="A938" s="155" t="s">
        <v>3213</v>
      </c>
      <c r="B938" s="154" t="s">
        <v>3214</v>
      </c>
    </row>
    <row r="939" spans="1:2">
      <c r="A939" s="155" t="s">
        <v>3215</v>
      </c>
      <c r="B939" s="154" t="s">
        <v>3216</v>
      </c>
    </row>
    <row r="940" spans="1:2">
      <c r="A940" s="150" t="s">
        <v>1140</v>
      </c>
      <c r="B940" s="151" t="s">
        <v>1011</v>
      </c>
    </row>
    <row r="941" spans="1:2">
      <c r="A941" s="155" t="s">
        <v>3217</v>
      </c>
      <c r="B941" s="154" t="s">
        <v>3218</v>
      </c>
    </row>
    <row r="942" spans="1:2">
      <c r="A942" s="155" t="s">
        <v>3219</v>
      </c>
      <c r="B942" s="154" t="s">
        <v>1409</v>
      </c>
    </row>
    <row r="943" spans="1:2">
      <c r="A943" s="155" t="s">
        <v>3220</v>
      </c>
      <c r="B943" s="154" t="s">
        <v>3221</v>
      </c>
    </row>
    <row r="944" spans="1:2">
      <c r="A944" s="155" t="s">
        <v>3222</v>
      </c>
      <c r="B944" s="154" t="s">
        <v>3223</v>
      </c>
    </row>
    <row r="945" spans="1:2">
      <c r="A945" s="155" t="s">
        <v>3224</v>
      </c>
      <c r="B945" s="154" t="s">
        <v>1403</v>
      </c>
    </row>
    <row r="946" spans="1:2">
      <c r="A946" s="155" t="s">
        <v>3225</v>
      </c>
      <c r="B946" s="154" t="s">
        <v>3173</v>
      </c>
    </row>
    <row r="947" spans="1:2">
      <c r="A947" s="155" t="s">
        <v>3226</v>
      </c>
      <c r="B947" s="154" t="s">
        <v>1414</v>
      </c>
    </row>
    <row r="948" spans="1:2">
      <c r="A948" s="150" t="s">
        <v>1141</v>
      </c>
      <c r="B948" s="151" t="s">
        <v>1142</v>
      </c>
    </row>
    <row r="949" spans="1:2">
      <c r="A949" s="155" t="s">
        <v>3227</v>
      </c>
      <c r="B949" s="154" t="s">
        <v>1430</v>
      </c>
    </row>
    <row r="950" spans="1:2">
      <c r="A950" s="155" t="s">
        <v>3228</v>
      </c>
      <c r="B950" s="154" t="s">
        <v>1432</v>
      </c>
    </row>
    <row r="951" spans="1:2">
      <c r="A951" s="155" t="s">
        <v>3229</v>
      </c>
      <c r="B951" s="154" t="s">
        <v>1434</v>
      </c>
    </row>
    <row r="952" spans="1:2">
      <c r="A952" s="155" t="s">
        <v>3230</v>
      </c>
      <c r="B952" s="154" t="s">
        <v>3231</v>
      </c>
    </row>
    <row r="953" spans="1:2">
      <c r="A953" s="155" t="s">
        <v>3232</v>
      </c>
      <c r="B953" s="154" t="s">
        <v>3233</v>
      </c>
    </row>
    <row r="954" spans="1:2">
      <c r="A954" s="150" t="s">
        <v>3739</v>
      </c>
      <c r="B954" s="151" t="s">
        <v>3740</v>
      </c>
    </row>
    <row r="955" spans="1:2">
      <c r="A955" s="155" t="s">
        <v>3234</v>
      </c>
      <c r="B955" s="154" t="s">
        <v>3235</v>
      </c>
    </row>
    <row r="956" spans="1:2">
      <c r="A956" s="149" t="s">
        <v>367</v>
      </c>
      <c r="B956" s="153" t="s">
        <v>3706</v>
      </c>
    </row>
    <row r="957" spans="1:2">
      <c r="A957" s="150" t="s">
        <v>1156</v>
      </c>
      <c r="B957" s="151" t="s">
        <v>1157</v>
      </c>
    </row>
    <row r="958" spans="1:2">
      <c r="A958" s="155" t="s">
        <v>3236</v>
      </c>
      <c r="B958" s="154" t="s">
        <v>3237</v>
      </c>
    </row>
    <row r="959" spans="1:2">
      <c r="A959" s="155" t="s">
        <v>3238</v>
      </c>
      <c r="B959" s="154" t="s">
        <v>3237</v>
      </c>
    </row>
    <row r="960" spans="1:2">
      <c r="A960" s="155" t="s">
        <v>3239</v>
      </c>
      <c r="B960" s="154" t="s">
        <v>3240</v>
      </c>
    </row>
    <row r="961" spans="1:2">
      <c r="A961" s="155" t="s">
        <v>3241</v>
      </c>
      <c r="B961" s="154" t="s">
        <v>3242</v>
      </c>
    </row>
    <row r="962" spans="1:2">
      <c r="A962" s="155" t="s">
        <v>3243</v>
      </c>
      <c r="B962" s="154" t="s">
        <v>3244</v>
      </c>
    </row>
    <row r="963" spans="1:2">
      <c r="A963" s="155" t="s">
        <v>3245</v>
      </c>
      <c r="B963" s="154" t="s">
        <v>3246</v>
      </c>
    </row>
    <row r="964" spans="1:2">
      <c r="A964" s="155" t="s">
        <v>3247</v>
      </c>
      <c r="B964" s="154" t="s">
        <v>3248</v>
      </c>
    </row>
    <row r="965" spans="1:2">
      <c r="A965" s="155" t="s">
        <v>3249</v>
      </c>
      <c r="B965" s="154" t="s">
        <v>3250</v>
      </c>
    </row>
    <row r="966" spans="1:2">
      <c r="A966" s="155" t="s">
        <v>3251</v>
      </c>
      <c r="B966" s="154" t="s">
        <v>3252</v>
      </c>
    </row>
    <row r="967" spans="1:2">
      <c r="A967" s="155" t="s">
        <v>3253</v>
      </c>
      <c r="B967" s="154" t="s">
        <v>3254</v>
      </c>
    </row>
    <row r="968" spans="1:2">
      <c r="A968" s="155" t="s">
        <v>3255</v>
      </c>
      <c r="B968" s="154" t="s">
        <v>3256</v>
      </c>
    </row>
    <row r="969" spans="1:2">
      <c r="A969" s="155" t="s">
        <v>3257</v>
      </c>
      <c r="B969" s="154" t="s">
        <v>3258</v>
      </c>
    </row>
    <row r="970" spans="1:2">
      <c r="A970" s="155" t="s">
        <v>3259</v>
      </c>
      <c r="B970" s="154" t="s">
        <v>3260</v>
      </c>
    </row>
    <row r="971" spans="1:2">
      <c r="A971" s="155" t="s">
        <v>3261</v>
      </c>
      <c r="B971" s="154" t="s">
        <v>3262</v>
      </c>
    </row>
    <row r="972" spans="1:2">
      <c r="A972" s="155" t="s">
        <v>3263</v>
      </c>
      <c r="B972" s="154" t="s">
        <v>3264</v>
      </c>
    </row>
    <row r="973" spans="1:2">
      <c r="A973" s="155" t="s">
        <v>3265</v>
      </c>
      <c r="B973" s="154" t="s">
        <v>3266</v>
      </c>
    </row>
    <row r="974" spans="1:2">
      <c r="A974" s="155" t="s">
        <v>3267</v>
      </c>
      <c r="B974" s="154" t="s">
        <v>3268</v>
      </c>
    </row>
    <row r="975" spans="1:2">
      <c r="A975" s="155" t="s">
        <v>3269</v>
      </c>
      <c r="B975" s="154" t="s">
        <v>3270</v>
      </c>
    </row>
    <row r="976" spans="1:2">
      <c r="A976" s="155" t="s">
        <v>3271</v>
      </c>
      <c r="B976" s="154" t="s">
        <v>3272</v>
      </c>
    </row>
    <row r="977" spans="1:2">
      <c r="A977" s="155" t="s">
        <v>3273</v>
      </c>
      <c r="B977" s="154" t="s">
        <v>3274</v>
      </c>
    </row>
    <row r="978" spans="1:2">
      <c r="A978" s="155" t="s">
        <v>3275</v>
      </c>
      <c r="B978" s="154" t="s">
        <v>3276</v>
      </c>
    </row>
    <row r="979" spans="1:2">
      <c r="A979" s="155" t="s">
        <v>3277</v>
      </c>
      <c r="B979" s="154" t="s">
        <v>3278</v>
      </c>
    </row>
    <row r="980" spans="1:2">
      <c r="A980" s="155" t="s">
        <v>3279</v>
      </c>
      <c r="B980" s="154" t="s">
        <v>3280</v>
      </c>
    </row>
    <row r="981" spans="1:2">
      <c r="A981" s="155" t="s">
        <v>3281</v>
      </c>
      <c r="B981" s="154" t="s">
        <v>3282</v>
      </c>
    </row>
    <row r="982" spans="1:2">
      <c r="A982" s="155" t="s">
        <v>3283</v>
      </c>
      <c r="B982" s="154" t="s">
        <v>3284</v>
      </c>
    </row>
    <row r="983" spans="1:2">
      <c r="A983" s="155" t="s">
        <v>3285</v>
      </c>
      <c r="B983" s="154" t="s">
        <v>3286</v>
      </c>
    </row>
    <row r="984" spans="1:2">
      <c r="A984" s="155" t="s">
        <v>3287</v>
      </c>
      <c r="B984" s="154" t="s">
        <v>3288</v>
      </c>
    </row>
    <row r="985" spans="1:2">
      <c r="A985" s="155" t="s">
        <v>3289</v>
      </c>
      <c r="B985" s="154" t="s">
        <v>3290</v>
      </c>
    </row>
    <row r="986" spans="1:2">
      <c r="A986" s="155" t="s">
        <v>3291</v>
      </c>
      <c r="B986" s="154" t="s">
        <v>3292</v>
      </c>
    </row>
    <row r="987" spans="1:2">
      <c r="A987" s="155" t="s">
        <v>3293</v>
      </c>
      <c r="B987" s="154" t="s">
        <v>3294</v>
      </c>
    </row>
    <row r="988" spans="1:2">
      <c r="A988" s="155" t="s">
        <v>3295</v>
      </c>
      <c r="B988" s="154" t="s">
        <v>3296</v>
      </c>
    </row>
    <row r="989" spans="1:2">
      <c r="A989" s="155" t="s">
        <v>3297</v>
      </c>
      <c r="B989" s="154" t="s">
        <v>3298</v>
      </c>
    </row>
    <row r="990" spans="1:2">
      <c r="A990" s="155" t="s">
        <v>3299</v>
      </c>
      <c r="B990" s="154" t="s">
        <v>3300</v>
      </c>
    </row>
    <row r="991" spans="1:2">
      <c r="A991" s="155" t="s">
        <v>3301</v>
      </c>
      <c r="B991" s="154" t="s">
        <v>3302</v>
      </c>
    </row>
    <row r="992" spans="1:2">
      <c r="A992" s="155" t="s">
        <v>3303</v>
      </c>
      <c r="B992" s="154" t="s">
        <v>3304</v>
      </c>
    </row>
    <row r="993" spans="1:2">
      <c r="A993" s="155" t="s">
        <v>3305</v>
      </c>
      <c r="B993" s="154" t="s">
        <v>3306</v>
      </c>
    </row>
    <row r="994" spans="1:2">
      <c r="A994" s="155" t="s">
        <v>3307</v>
      </c>
      <c r="B994" s="154" t="s">
        <v>3308</v>
      </c>
    </row>
    <row r="995" spans="1:2">
      <c r="A995" s="155" t="s">
        <v>3309</v>
      </c>
      <c r="B995" s="154" t="s">
        <v>3310</v>
      </c>
    </row>
    <row r="996" spans="1:2">
      <c r="A996" s="155" t="s">
        <v>3311</v>
      </c>
      <c r="B996" s="154" t="s">
        <v>3312</v>
      </c>
    </row>
    <row r="997" spans="1:2">
      <c r="A997" s="155" t="s">
        <v>3313</v>
      </c>
      <c r="B997" s="154" t="s">
        <v>3314</v>
      </c>
    </row>
    <row r="998" spans="1:2">
      <c r="A998" s="155" t="s">
        <v>3315</v>
      </c>
      <c r="B998" s="154" t="s">
        <v>3316</v>
      </c>
    </row>
    <row r="999" spans="1:2">
      <c r="A999" s="155" t="s">
        <v>3317</v>
      </c>
      <c r="B999" s="154" t="s">
        <v>3318</v>
      </c>
    </row>
    <row r="1000" spans="1:2">
      <c r="A1000" s="155" t="s">
        <v>3319</v>
      </c>
      <c r="B1000" s="154" t="s">
        <v>3320</v>
      </c>
    </row>
    <row r="1001" spans="1:2">
      <c r="A1001" s="155" t="s">
        <v>3321</v>
      </c>
      <c r="B1001" s="154" t="s">
        <v>3322</v>
      </c>
    </row>
    <row r="1002" spans="1:2">
      <c r="A1002" s="155" t="s">
        <v>3323</v>
      </c>
      <c r="B1002" s="154" t="s">
        <v>3324</v>
      </c>
    </row>
    <row r="1003" spans="1:2">
      <c r="A1003" s="155" t="s">
        <v>3325</v>
      </c>
      <c r="B1003" s="154" t="s">
        <v>3326</v>
      </c>
    </row>
    <row r="1004" spans="1:2">
      <c r="A1004" s="155" t="s">
        <v>3327</v>
      </c>
      <c r="B1004" s="154" t="s">
        <v>3328</v>
      </c>
    </row>
    <row r="1005" spans="1:2">
      <c r="A1005" s="155" t="s">
        <v>3329</v>
      </c>
      <c r="B1005" s="154" t="s">
        <v>3330</v>
      </c>
    </row>
    <row r="1006" spans="1:2">
      <c r="A1006" s="155" t="s">
        <v>3331</v>
      </c>
      <c r="B1006" s="154" t="s">
        <v>3332</v>
      </c>
    </row>
    <row r="1007" spans="1:2">
      <c r="A1007" s="155" t="s">
        <v>3333</v>
      </c>
      <c r="B1007" s="154" t="s">
        <v>3334</v>
      </c>
    </row>
    <row r="1008" spans="1:2">
      <c r="A1008" s="155" t="s">
        <v>3335</v>
      </c>
      <c r="B1008" s="154" t="s">
        <v>3336</v>
      </c>
    </row>
    <row r="1009" spans="1:2">
      <c r="A1009" s="155" t="s">
        <v>3337</v>
      </c>
      <c r="B1009" s="154" t="s">
        <v>3338</v>
      </c>
    </row>
    <row r="1010" spans="1:2">
      <c r="A1010" s="155" t="s">
        <v>3339</v>
      </c>
      <c r="B1010" s="154" t="s">
        <v>3340</v>
      </c>
    </row>
    <row r="1011" spans="1:2">
      <c r="A1011" s="155" t="s">
        <v>3341</v>
      </c>
      <c r="B1011" s="154" t="s">
        <v>3342</v>
      </c>
    </row>
    <row r="1012" spans="1:2">
      <c r="A1012" s="155" t="s">
        <v>3343</v>
      </c>
      <c r="B1012" s="154" t="s">
        <v>3344</v>
      </c>
    </row>
    <row r="1013" spans="1:2">
      <c r="A1013" s="155" t="s">
        <v>3345</v>
      </c>
      <c r="B1013" s="154" t="s">
        <v>3346</v>
      </c>
    </row>
    <row r="1014" spans="1:2">
      <c r="A1014" s="155" t="s">
        <v>3347</v>
      </c>
      <c r="B1014" s="154" t="s">
        <v>3348</v>
      </c>
    </row>
    <row r="1015" spans="1:2">
      <c r="A1015" s="155" t="s">
        <v>3349</v>
      </c>
      <c r="B1015" s="154" t="s">
        <v>3350</v>
      </c>
    </row>
    <row r="1016" spans="1:2">
      <c r="A1016" s="155" t="s">
        <v>3351</v>
      </c>
      <c r="B1016" s="154" t="s">
        <v>3352</v>
      </c>
    </row>
    <row r="1017" spans="1:2">
      <c r="A1017" s="155" t="s">
        <v>3353</v>
      </c>
      <c r="B1017" s="154" t="s">
        <v>3354</v>
      </c>
    </row>
    <row r="1018" spans="1:2">
      <c r="A1018" s="155" t="s">
        <v>3355</v>
      </c>
      <c r="B1018" s="154" t="s">
        <v>3356</v>
      </c>
    </row>
    <row r="1019" spans="1:2">
      <c r="A1019" s="155" t="s">
        <v>3357</v>
      </c>
      <c r="B1019" s="154" t="s">
        <v>3358</v>
      </c>
    </row>
    <row r="1020" spans="1:2">
      <c r="A1020" s="155" t="s">
        <v>3359</v>
      </c>
      <c r="B1020" s="154" t="s">
        <v>3360</v>
      </c>
    </row>
    <row r="1021" spans="1:2">
      <c r="A1021" s="155" t="s">
        <v>3361</v>
      </c>
      <c r="B1021" s="154" t="s">
        <v>3362</v>
      </c>
    </row>
    <row r="1022" spans="1:2">
      <c r="A1022" s="155" t="s">
        <v>3363</v>
      </c>
      <c r="B1022" s="154" t="s">
        <v>3364</v>
      </c>
    </row>
    <row r="1023" spans="1:2">
      <c r="A1023" s="155" t="s">
        <v>3365</v>
      </c>
      <c r="B1023" s="154" t="s">
        <v>3366</v>
      </c>
    </row>
    <row r="1024" spans="1:2">
      <c r="A1024" s="155" t="s">
        <v>3367</v>
      </c>
      <c r="B1024" s="154" t="s">
        <v>3368</v>
      </c>
    </row>
    <row r="1025" spans="1:2">
      <c r="A1025" s="155" t="s">
        <v>3369</v>
      </c>
      <c r="B1025" s="154" t="s">
        <v>3370</v>
      </c>
    </row>
    <row r="1026" spans="1:2">
      <c r="A1026" s="155" t="s">
        <v>3371</v>
      </c>
      <c r="B1026" s="154" t="s">
        <v>3372</v>
      </c>
    </row>
    <row r="1027" spans="1:2">
      <c r="A1027" s="155" t="s">
        <v>3373</v>
      </c>
      <c r="B1027" s="154" t="s">
        <v>3374</v>
      </c>
    </row>
    <row r="1028" spans="1:2">
      <c r="A1028" s="155" t="s">
        <v>3375</v>
      </c>
      <c r="B1028" s="154" t="s">
        <v>3376</v>
      </c>
    </row>
    <row r="1029" spans="1:2">
      <c r="A1029" s="155" t="s">
        <v>3377</v>
      </c>
      <c r="B1029" s="154" t="s">
        <v>3378</v>
      </c>
    </row>
    <row r="1030" spans="1:2">
      <c r="A1030" s="155" t="s">
        <v>3379</v>
      </c>
      <c r="B1030" s="154" t="s">
        <v>3380</v>
      </c>
    </row>
    <row r="1031" spans="1:2">
      <c r="A1031" s="155" t="s">
        <v>3381</v>
      </c>
      <c r="B1031" s="154" t="s">
        <v>3382</v>
      </c>
    </row>
    <row r="1032" spans="1:2">
      <c r="A1032" s="155" t="s">
        <v>3383</v>
      </c>
      <c r="B1032" s="154" t="s">
        <v>3384</v>
      </c>
    </row>
    <row r="1033" spans="1:2">
      <c r="A1033" s="155" t="s">
        <v>3385</v>
      </c>
      <c r="B1033" s="154" t="s">
        <v>3386</v>
      </c>
    </row>
    <row r="1034" spans="1:2">
      <c r="A1034" s="155" t="s">
        <v>3387</v>
      </c>
      <c r="B1034" s="154" t="s">
        <v>3388</v>
      </c>
    </row>
    <row r="1035" spans="1:2">
      <c r="A1035" s="155" t="s">
        <v>3389</v>
      </c>
      <c r="B1035" s="154" t="s">
        <v>3390</v>
      </c>
    </row>
    <row r="1036" spans="1:2">
      <c r="A1036" s="155" t="s">
        <v>3391</v>
      </c>
      <c r="B1036" s="154" t="s">
        <v>3392</v>
      </c>
    </row>
    <row r="1037" spans="1:2">
      <c r="A1037" s="155" t="s">
        <v>3393</v>
      </c>
      <c r="B1037" s="154" t="s">
        <v>3310</v>
      </c>
    </row>
    <row r="1038" spans="1:2">
      <c r="A1038" s="155" t="s">
        <v>3394</v>
      </c>
      <c r="B1038" s="154" t="s">
        <v>3395</v>
      </c>
    </row>
    <row r="1039" spans="1:2">
      <c r="A1039" s="155" t="s">
        <v>3396</v>
      </c>
      <c r="B1039" s="154" t="s">
        <v>3397</v>
      </c>
    </row>
    <row r="1040" spans="1:2">
      <c r="A1040" s="155" t="s">
        <v>3398</v>
      </c>
      <c r="B1040" s="154" t="s">
        <v>3399</v>
      </c>
    </row>
    <row r="1041" spans="1:2">
      <c r="A1041" s="155" t="s">
        <v>3400</v>
      </c>
      <c r="B1041" s="154" t="s">
        <v>3388</v>
      </c>
    </row>
    <row r="1042" spans="1:2">
      <c r="A1042" s="155" t="s">
        <v>3401</v>
      </c>
      <c r="B1042" s="154" t="s">
        <v>3402</v>
      </c>
    </row>
    <row r="1043" spans="1:2">
      <c r="A1043" s="155" t="s">
        <v>3403</v>
      </c>
      <c r="B1043" s="154" t="s">
        <v>3404</v>
      </c>
    </row>
    <row r="1044" spans="1:2">
      <c r="A1044" s="155" t="s">
        <v>3405</v>
      </c>
      <c r="B1044" s="154" t="s">
        <v>3406</v>
      </c>
    </row>
    <row r="1045" spans="1:2">
      <c r="A1045" s="155" t="s">
        <v>3407</v>
      </c>
      <c r="B1045" s="154" t="s">
        <v>3408</v>
      </c>
    </row>
    <row r="1046" spans="1:2">
      <c r="A1046" s="155" t="s">
        <v>3409</v>
      </c>
      <c r="B1046" s="154" t="s">
        <v>3410</v>
      </c>
    </row>
    <row r="1047" spans="1:2">
      <c r="A1047" s="155" t="s">
        <v>3411</v>
      </c>
      <c r="B1047" s="154" t="s">
        <v>3412</v>
      </c>
    </row>
    <row r="1048" spans="1:2">
      <c r="A1048" s="155" t="s">
        <v>3413</v>
      </c>
      <c r="B1048" s="154" t="s">
        <v>3414</v>
      </c>
    </row>
    <row r="1049" spans="1:2">
      <c r="A1049" s="155" t="s">
        <v>3415</v>
      </c>
      <c r="B1049" s="154" t="s">
        <v>3416</v>
      </c>
    </row>
    <row r="1050" spans="1:2">
      <c r="A1050" s="155" t="s">
        <v>3417</v>
      </c>
      <c r="B1050" s="154" t="s">
        <v>3418</v>
      </c>
    </row>
    <row r="1051" spans="1:2">
      <c r="A1051" s="155" t="s">
        <v>3419</v>
      </c>
      <c r="B1051" s="154" t="s">
        <v>3420</v>
      </c>
    </row>
    <row r="1052" spans="1:2">
      <c r="A1052" s="155" t="s">
        <v>3421</v>
      </c>
      <c r="B1052" s="154" t="s">
        <v>3422</v>
      </c>
    </row>
    <row r="1053" spans="1:2">
      <c r="A1053" s="155" t="s">
        <v>3423</v>
      </c>
      <c r="B1053" s="154" t="s">
        <v>3424</v>
      </c>
    </row>
    <row r="1054" spans="1:2">
      <c r="A1054" s="155" t="s">
        <v>3425</v>
      </c>
      <c r="B1054" s="154" t="s">
        <v>3426</v>
      </c>
    </row>
    <row r="1055" spans="1:2">
      <c r="A1055" s="155" t="s">
        <v>3427</v>
      </c>
      <c r="B1055" s="154" t="s">
        <v>3428</v>
      </c>
    </row>
    <row r="1056" spans="1:2">
      <c r="A1056" s="155" t="s">
        <v>3429</v>
      </c>
      <c r="B1056" s="154" t="s">
        <v>3430</v>
      </c>
    </row>
    <row r="1057" spans="1:2">
      <c r="A1057" s="155" t="s">
        <v>3431</v>
      </c>
      <c r="B1057" s="154" t="s">
        <v>3432</v>
      </c>
    </row>
    <row r="1058" spans="1:2">
      <c r="A1058" s="155" t="s">
        <v>3433</v>
      </c>
      <c r="B1058" s="154" t="s">
        <v>3434</v>
      </c>
    </row>
    <row r="1059" spans="1:2">
      <c r="A1059" s="155" t="s">
        <v>3435</v>
      </c>
      <c r="B1059" s="154" t="s">
        <v>2901</v>
      </c>
    </row>
    <row r="1060" spans="1:2">
      <c r="A1060" s="155" t="s">
        <v>3436</v>
      </c>
      <c r="B1060" s="154" t="s">
        <v>3437</v>
      </c>
    </row>
    <row r="1061" spans="1:2">
      <c r="A1061" s="155" t="s">
        <v>3438</v>
      </c>
      <c r="B1061" s="154" t="s">
        <v>3439</v>
      </c>
    </row>
    <row r="1062" spans="1:2">
      <c r="A1062" s="155" t="s">
        <v>3440</v>
      </c>
      <c r="B1062" s="154" t="s">
        <v>3441</v>
      </c>
    </row>
    <row r="1063" spans="1:2">
      <c r="A1063" s="155" t="s">
        <v>3442</v>
      </c>
      <c r="B1063" s="154" t="s">
        <v>3443</v>
      </c>
    </row>
    <row r="1064" spans="1:2">
      <c r="A1064" s="155" t="s">
        <v>3444</v>
      </c>
      <c r="B1064" s="154" t="s">
        <v>3445</v>
      </c>
    </row>
    <row r="1065" spans="1:2">
      <c r="A1065" s="155" t="s">
        <v>3446</v>
      </c>
      <c r="B1065" s="154" t="s">
        <v>1496</v>
      </c>
    </row>
    <row r="1066" spans="1:2">
      <c r="A1066" s="155" t="s">
        <v>3447</v>
      </c>
      <c r="B1066" s="154" t="s">
        <v>3448</v>
      </c>
    </row>
    <row r="1067" spans="1:2">
      <c r="A1067" s="155" t="s">
        <v>3449</v>
      </c>
      <c r="B1067" s="154" t="s">
        <v>3450</v>
      </c>
    </row>
    <row r="1068" spans="1:2">
      <c r="A1068" s="155" t="s">
        <v>3451</v>
      </c>
      <c r="B1068" s="154" t="s">
        <v>3452</v>
      </c>
    </row>
    <row r="1069" spans="1:2">
      <c r="A1069" s="155" t="s">
        <v>3453</v>
      </c>
      <c r="B1069" s="154" t="s">
        <v>3454</v>
      </c>
    </row>
    <row r="1070" spans="1:2">
      <c r="A1070" s="155" t="s">
        <v>3455</v>
      </c>
      <c r="B1070" s="154" t="s">
        <v>3456</v>
      </c>
    </row>
    <row r="1071" spans="1:2">
      <c r="A1071" s="155" t="s">
        <v>3457</v>
      </c>
      <c r="B1071" s="154" t="s">
        <v>3458</v>
      </c>
    </row>
    <row r="1072" spans="1:2">
      <c r="A1072" s="155" t="s">
        <v>3459</v>
      </c>
      <c r="B1072" s="154" t="s">
        <v>3460</v>
      </c>
    </row>
    <row r="1073" spans="1:2">
      <c r="A1073" s="155" t="s">
        <v>3461</v>
      </c>
      <c r="B1073" s="154" t="s">
        <v>3462</v>
      </c>
    </row>
    <row r="1074" spans="1:2">
      <c r="A1074" s="155" t="s">
        <v>3463</v>
      </c>
      <c r="B1074" s="154" t="s">
        <v>3464</v>
      </c>
    </row>
    <row r="1075" spans="1:2">
      <c r="A1075" s="155" t="s">
        <v>3465</v>
      </c>
      <c r="B1075" s="154" t="s">
        <v>3079</v>
      </c>
    </row>
    <row r="1076" spans="1:2">
      <c r="A1076" s="155" t="s">
        <v>3466</v>
      </c>
      <c r="B1076" s="154" t="s">
        <v>3467</v>
      </c>
    </row>
    <row r="1077" spans="1:2">
      <c r="A1077" s="155" t="s">
        <v>3468</v>
      </c>
      <c r="B1077" s="154" t="s">
        <v>3469</v>
      </c>
    </row>
    <row r="1078" spans="1:2">
      <c r="A1078" s="155" t="s">
        <v>3470</v>
      </c>
      <c r="B1078" s="154" t="s">
        <v>3471</v>
      </c>
    </row>
    <row r="1079" spans="1:2">
      <c r="A1079" s="155" t="s">
        <v>3472</v>
      </c>
      <c r="B1079" s="154" t="s">
        <v>3473</v>
      </c>
    </row>
    <row r="1080" spans="1:2">
      <c r="A1080" s="155" t="s">
        <v>3474</v>
      </c>
      <c r="B1080" s="154" t="s">
        <v>3475</v>
      </c>
    </row>
    <row r="1081" spans="1:2">
      <c r="A1081" s="155" t="s">
        <v>3476</v>
      </c>
      <c r="B1081" s="154" t="s">
        <v>3477</v>
      </c>
    </row>
    <row r="1082" spans="1:2">
      <c r="A1082" s="155" t="s">
        <v>3478</v>
      </c>
      <c r="B1082" s="154" t="s">
        <v>2058</v>
      </c>
    </row>
    <row r="1083" spans="1:2">
      <c r="A1083" s="155" t="s">
        <v>3479</v>
      </c>
      <c r="B1083" s="154" t="s">
        <v>3480</v>
      </c>
    </row>
    <row r="1084" spans="1:2">
      <c r="A1084" s="150" t="s">
        <v>1162</v>
      </c>
      <c r="B1084" s="151" t="s">
        <v>1163</v>
      </c>
    </row>
    <row r="1085" spans="1:2">
      <c r="A1085" s="155" t="s">
        <v>3481</v>
      </c>
      <c r="B1085" s="154" t="s">
        <v>3218</v>
      </c>
    </row>
    <row r="1086" spans="1:2">
      <c r="A1086" s="155" t="s">
        <v>3482</v>
      </c>
      <c r="B1086" s="154" t="s">
        <v>1409</v>
      </c>
    </row>
    <row r="1087" spans="1:2">
      <c r="A1087" s="155" t="s">
        <v>3483</v>
      </c>
      <c r="B1087" s="154" t="s">
        <v>3484</v>
      </c>
    </row>
    <row r="1088" spans="1:2">
      <c r="A1088" s="155" t="s">
        <v>3485</v>
      </c>
      <c r="B1088" s="154" t="s">
        <v>3221</v>
      </c>
    </row>
    <row r="1089" spans="1:2">
      <c r="A1089" s="155" t="s">
        <v>3486</v>
      </c>
      <c r="B1089" s="154" t="s">
        <v>3487</v>
      </c>
    </row>
    <row r="1090" spans="1:2">
      <c r="A1090" s="155" t="s">
        <v>3488</v>
      </c>
      <c r="B1090" s="154" t="s">
        <v>1403</v>
      </c>
    </row>
    <row r="1091" spans="1:2">
      <c r="A1091" s="155" t="s">
        <v>3489</v>
      </c>
      <c r="B1091" s="154" t="s">
        <v>3173</v>
      </c>
    </row>
    <row r="1092" spans="1:2">
      <c r="A1092" s="155" t="s">
        <v>3490</v>
      </c>
      <c r="B1092" s="154" t="s">
        <v>1414</v>
      </c>
    </row>
    <row r="1093" spans="1:2">
      <c r="A1093" s="149" t="s">
        <v>3710</v>
      </c>
      <c r="B1093" s="153" t="s">
        <v>3711</v>
      </c>
    </row>
    <row r="1094" spans="1:2">
      <c r="A1094" s="150" t="s">
        <v>1209</v>
      </c>
      <c r="B1094" s="151" t="s">
        <v>1210</v>
      </c>
    </row>
    <row r="1095" spans="1:2">
      <c r="A1095" s="155" t="s">
        <v>3491</v>
      </c>
      <c r="B1095" s="154" t="s">
        <v>3492</v>
      </c>
    </row>
    <row r="1096" spans="1:2">
      <c r="A1096" s="155" t="s">
        <v>3493</v>
      </c>
      <c r="B1096" s="154" t="s">
        <v>3494</v>
      </c>
    </row>
    <row r="1097" spans="1:2">
      <c r="A1097" s="150" t="s">
        <v>1211</v>
      </c>
      <c r="B1097" s="151" t="s">
        <v>1059</v>
      </c>
    </row>
    <row r="1098" spans="1:2">
      <c r="A1098" s="155" t="s">
        <v>3495</v>
      </c>
      <c r="B1098" s="154" t="s">
        <v>3496</v>
      </c>
    </row>
    <row r="1099" spans="1:2">
      <c r="A1099" s="155" t="s">
        <v>3497</v>
      </c>
      <c r="B1099" s="154" t="s">
        <v>1467</v>
      </c>
    </row>
    <row r="1100" spans="1:2">
      <c r="A1100" s="155" t="s">
        <v>3498</v>
      </c>
      <c r="B1100" s="154" t="s">
        <v>3494</v>
      </c>
    </row>
    <row r="1101" spans="1:2">
      <c r="A1101" s="149" t="s">
        <v>3714</v>
      </c>
      <c r="B1101" s="153" t="s">
        <v>3715</v>
      </c>
    </row>
    <row r="1102" spans="1:2">
      <c r="A1102" s="150" t="s">
        <v>1226</v>
      </c>
      <c r="B1102" s="151" t="s">
        <v>1227</v>
      </c>
    </row>
    <row r="1103" spans="1:2">
      <c r="A1103" s="155" t="s">
        <v>3499</v>
      </c>
      <c r="B1103" s="154" t="s">
        <v>3500</v>
      </c>
    </row>
    <row r="1104" spans="1:2">
      <c r="A1104" s="155" t="s">
        <v>3501</v>
      </c>
      <c r="B1104" s="154" t="s">
        <v>3502</v>
      </c>
    </row>
    <row r="1105" spans="1:2">
      <c r="A1105" s="149" t="s">
        <v>3724</v>
      </c>
      <c r="B1105" s="153" t="s">
        <v>3725</v>
      </c>
    </row>
    <row r="1106" spans="1:2">
      <c r="A1106" s="150" t="s">
        <v>1375</v>
      </c>
      <c r="B1106" s="151" t="s">
        <v>1142</v>
      </c>
    </row>
    <row r="1107" spans="1:2">
      <c r="A1107" s="155" t="s">
        <v>3503</v>
      </c>
      <c r="B1107" s="154" t="s">
        <v>3504</v>
      </c>
    </row>
    <row r="1108" spans="1:2">
      <c r="A1108" s="155" t="s">
        <v>3505</v>
      </c>
      <c r="B1108" s="154" t="s">
        <v>3506</v>
      </c>
    </row>
    <row r="1109" spans="1:2">
      <c r="A1109" s="155" t="s">
        <v>3507</v>
      </c>
      <c r="B1109" s="154" t="s">
        <v>3508</v>
      </c>
    </row>
    <row r="1110" spans="1:2">
      <c r="A1110" s="155" t="s">
        <v>3509</v>
      </c>
      <c r="B1110" s="154" t="s">
        <v>3510</v>
      </c>
    </row>
    <row r="1111" spans="1:2">
      <c r="A1111" s="155" t="s">
        <v>3511</v>
      </c>
      <c r="B1111" s="154" t="s">
        <v>3512</v>
      </c>
    </row>
    <row r="1112" spans="1:2">
      <c r="A1112" s="155" t="s">
        <v>3513</v>
      </c>
      <c r="B1112" s="154" t="s">
        <v>3514</v>
      </c>
    </row>
    <row r="1113" spans="1:2">
      <c r="A1113" s="149" t="s">
        <v>3726</v>
      </c>
      <c r="B1113" s="153" t="s">
        <v>3727</v>
      </c>
    </row>
    <row r="1114" spans="1:2">
      <c r="A1114" s="150" t="s">
        <v>1390</v>
      </c>
      <c r="B1114" s="151" t="s">
        <v>1142</v>
      </c>
    </row>
    <row r="1115" spans="1:2">
      <c r="A1115" s="155" t="s">
        <v>3515</v>
      </c>
      <c r="B1115" s="154" t="s">
        <v>1449</v>
      </c>
    </row>
    <row r="1116" spans="1:2">
      <c r="A1116" s="155" t="s">
        <v>3516</v>
      </c>
      <c r="B1116" s="154" t="s">
        <v>1451</v>
      </c>
    </row>
  </sheetData>
  <autoFilter ref="A1:B1116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F104"/>
  <sheetViews>
    <sheetView workbookViewId="0">
      <selection activeCell="B20" sqref="B20:F21"/>
    </sheetView>
  </sheetViews>
  <sheetFormatPr defaultRowHeight="15"/>
  <cols>
    <col min="1" max="1" width="11.28515625" bestFit="1" customWidth="1"/>
    <col min="2" max="2" width="91.140625" customWidth="1"/>
    <col min="3" max="3" width="20.42578125" style="141" bestFit="1" customWidth="1"/>
    <col min="4" max="5" width="23.7109375" style="142" customWidth="1"/>
    <col min="6" max="6" width="11.7109375" style="140" customWidth="1"/>
  </cols>
  <sheetData>
    <row r="1" spans="1:6" ht="20.25" thickBot="1">
      <c r="A1" s="137" t="s">
        <v>489</v>
      </c>
      <c r="B1" s="137" t="s">
        <v>3564</v>
      </c>
      <c r="C1" s="138" t="s">
        <v>3741</v>
      </c>
      <c r="D1" s="137"/>
      <c r="E1" s="137"/>
      <c r="F1" s="139" t="s">
        <v>3742</v>
      </c>
    </row>
    <row r="2" spans="1:6" ht="15.75" thickTop="1">
      <c r="B2" s="4" t="s">
        <v>496</v>
      </c>
      <c r="C2" s="4">
        <v>11</v>
      </c>
      <c r="D2" s="4" t="s">
        <v>495</v>
      </c>
      <c r="E2" s="4">
        <v>671</v>
      </c>
      <c r="F2" s="4" t="s">
        <v>485</v>
      </c>
    </row>
    <row r="3" spans="1:6">
      <c r="B3" s="4" t="s">
        <v>496</v>
      </c>
      <c r="C3" s="4">
        <v>12</v>
      </c>
      <c r="D3" s="4" t="s">
        <v>499</v>
      </c>
      <c r="E3" s="4">
        <v>671</v>
      </c>
      <c r="F3" s="4" t="s">
        <v>487</v>
      </c>
    </row>
    <row r="4" spans="1:6">
      <c r="B4" s="4" t="s">
        <v>501</v>
      </c>
      <c r="C4" s="4">
        <v>41</v>
      </c>
      <c r="D4" s="4" t="s">
        <v>502</v>
      </c>
      <c r="E4" s="4">
        <v>614</v>
      </c>
      <c r="F4" s="4">
        <v>614810041</v>
      </c>
    </row>
    <row r="5" spans="1:6">
      <c r="B5" s="4" t="s">
        <v>503</v>
      </c>
      <c r="C5" s="4">
        <v>41</v>
      </c>
      <c r="D5" s="4" t="s">
        <v>502</v>
      </c>
      <c r="E5" s="4">
        <v>614</v>
      </c>
      <c r="F5" s="4">
        <v>614820041</v>
      </c>
    </row>
    <row r="6" spans="1:6">
      <c r="B6" s="4" t="s">
        <v>506</v>
      </c>
      <c r="C6" s="4">
        <v>41</v>
      </c>
      <c r="D6" s="4" t="s">
        <v>502</v>
      </c>
      <c r="E6" s="4">
        <v>614</v>
      </c>
      <c r="F6" s="4">
        <v>614830041</v>
      </c>
    </row>
    <row r="7" spans="1:6">
      <c r="B7" s="4" t="s">
        <v>508</v>
      </c>
      <c r="C7" s="4">
        <v>41</v>
      </c>
      <c r="D7" s="4" t="s">
        <v>502</v>
      </c>
      <c r="E7" s="4">
        <v>614</v>
      </c>
      <c r="F7" s="4">
        <v>614840041</v>
      </c>
    </row>
    <row r="8" spans="1:6">
      <c r="B8" s="4" t="s">
        <v>509</v>
      </c>
      <c r="C8" s="4">
        <v>52</v>
      </c>
      <c r="D8" s="4" t="s">
        <v>510</v>
      </c>
      <c r="E8" s="4">
        <v>631</v>
      </c>
      <c r="F8" s="4">
        <v>631110000</v>
      </c>
    </row>
    <row r="9" spans="1:6">
      <c r="B9" s="4" t="s">
        <v>512</v>
      </c>
      <c r="C9" s="4">
        <v>52</v>
      </c>
      <c r="D9" s="4" t="s">
        <v>510</v>
      </c>
      <c r="E9" s="4">
        <v>631</v>
      </c>
      <c r="F9" s="4">
        <v>631120000</v>
      </c>
    </row>
    <row r="10" spans="1:6">
      <c r="B10" s="4" t="s">
        <v>514</v>
      </c>
      <c r="C10" s="4">
        <v>52</v>
      </c>
      <c r="D10" s="4" t="s">
        <v>510</v>
      </c>
      <c r="E10" s="4">
        <v>631</v>
      </c>
      <c r="F10" s="4">
        <v>631210000</v>
      </c>
    </row>
    <row r="11" spans="1:6" s="109" customFormat="1">
      <c r="B11" s="4" t="s">
        <v>516</v>
      </c>
      <c r="C11" s="4">
        <v>52</v>
      </c>
      <c r="D11" s="4" t="s">
        <v>510</v>
      </c>
      <c r="E11" s="4">
        <v>631</v>
      </c>
      <c r="F11" s="4">
        <v>631220000</v>
      </c>
    </row>
    <row r="12" spans="1:6" s="109" customFormat="1">
      <c r="B12" s="4" t="s">
        <v>518</v>
      </c>
      <c r="C12" s="4">
        <v>52</v>
      </c>
      <c r="D12" s="4" t="s">
        <v>510</v>
      </c>
      <c r="E12" s="4">
        <v>632</v>
      </c>
      <c r="F12" s="4">
        <v>632112000</v>
      </c>
    </row>
    <row r="13" spans="1:6" s="109" customFormat="1">
      <c r="B13" s="4" t="s">
        <v>520</v>
      </c>
      <c r="C13" s="4">
        <v>52</v>
      </c>
      <c r="D13" s="4" t="s">
        <v>510</v>
      </c>
      <c r="E13" s="4">
        <v>632</v>
      </c>
      <c r="F13" s="4">
        <v>632212000</v>
      </c>
    </row>
    <row r="14" spans="1:6" s="109" customFormat="1">
      <c r="B14" s="4" t="s">
        <v>522</v>
      </c>
      <c r="C14" s="4">
        <v>552</v>
      </c>
      <c r="D14" s="4" t="s">
        <v>511</v>
      </c>
      <c r="E14" s="4">
        <v>632</v>
      </c>
      <c r="F14" s="4">
        <v>632310552</v>
      </c>
    </row>
    <row r="15" spans="1:6" s="109" customFormat="1">
      <c r="B15" s="4" t="s">
        <v>524</v>
      </c>
      <c r="C15" s="4">
        <v>559</v>
      </c>
      <c r="D15" s="4" t="s">
        <v>513</v>
      </c>
      <c r="E15" s="4">
        <v>632</v>
      </c>
      <c r="F15" s="4">
        <v>632310559</v>
      </c>
    </row>
    <row r="16" spans="1:6" s="109" customFormat="1">
      <c r="B16" s="4" t="s">
        <v>515</v>
      </c>
      <c r="C16" s="4">
        <v>561</v>
      </c>
      <c r="D16" s="4" t="s">
        <v>515</v>
      </c>
      <c r="E16" s="4">
        <v>632</v>
      </c>
      <c r="F16" s="4">
        <v>632310561</v>
      </c>
    </row>
    <row r="17" spans="2:6" s="109" customFormat="1">
      <c r="B17" s="4" t="s">
        <v>526</v>
      </c>
      <c r="C17" s="4">
        <v>563</v>
      </c>
      <c r="D17" s="4" t="s">
        <v>517</v>
      </c>
      <c r="E17" s="4">
        <v>632</v>
      </c>
      <c r="F17" s="4">
        <v>632310563</v>
      </c>
    </row>
    <row r="18" spans="2:6" s="109" customFormat="1">
      <c r="B18" s="4" t="s">
        <v>528</v>
      </c>
      <c r="C18" s="4">
        <v>573</v>
      </c>
      <c r="D18" s="4" t="s">
        <v>519</v>
      </c>
      <c r="E18" s="4">
        <v>632</v>
      </c>
      <c r="F18" s="4">
        <v>632310573</v>
      </c>
    </row>
    <row r="19" spans="2:6" s="109" customFormat="1">
      <c r="B19" s="4" t="s">
        <v>530</v>
      </c>
      <c r="C19" s="4">
        <v>575</v>
      </c>
      <c r="D19" s="4" t="s">
        <v>521</v>
      </c>
      <c r="E19" s="4">
        <v>632</v>
      </c>
      <c r="F19" s="4">
        <v>632310575</v>
      </c>
    </row>
    <row r="20" spans="2:6" s="109" customFormat="1">
      <c r="B20" s="160" t="s">
        <v>532</v>
      </c>
      <c r="C20" s="160">
        <v>5761</v>
      </c>
      <c r="D20" s="160" t="s">
        <v>533</v>
      </c>
      <c r="E20" s="160">
        <v>632</v>
      </c>
      <c r="F20" s="160">
        <v>632315761</v>
      </c>
    </row>
    <row r="21" spans="2:6" s="109" customFormat="1">
      <c r="B21" s="160" t="s">
        <v>535</v>
      </c>
      <c r="C21" s="160">
        <v>5762</v>
      </c>
      <c r="D21" s="160" t="s">
        <v>533</v>
      </c>
      <c r="E21" s="160">
        <v>632</v>
      </c>
      <c r="F21" s="160">
        <v>632315762</v>
      </c>
    </row>
    <row r="22" spans="2:6" s="109" customFormat="1">
      <c r="B22" s="4" t="s">
        <v>536</v>
      </c>
      <c r="C22" s="4">
        <v>581</v>
      </c>
      <c r="D22" s="4" t="s">
        <v>525</v>
      </c>
      <c r="E22" s="4">
        <v>632</v>
      </c>
      <c r="F22" s="4">
        <v>632310581</v>
      </c>
    </row>
    <row r="23" spans="2:6" s="109" customFormat="1">
      <c r="B23" s="4" t="s">
        <v>537</v>
      </c>
      <c r="C23" s="4">
        <v>51</v>
      </c>
      <c r="D23" s="4" t="s">
        <v>538</v>
      </c>
      <c r="E23" s="4">
        <v>632</v>
      </c>
      <c r="F23" s="4">
        <v>632311700</v>
      </c>
    </row>
    <row r="24" spans="2:6" s="109" customFormat="1">
      <c r="B24" s="4" t="s">
        <v>539</v>
      </c>
      <c r="C24" s="4">
        <v>51</v>
      </c>
      <c r="D24" s="4" t="s">
        <v>538</v>
      </c>
      <c r="E24" s="4">
        <v>632</v>
      </c>
      <c r="F24" s="4">
        <v>632311800</v>
      </c>
    </row>
    <row r="25" spans="2:6" s="109" customFormat="1">
      <c r="B25" s="4" t="s">
        <v>540</v>
      </c>
      <c r="C25" s="4">
        <v>552</v>
      </c>
      <c r="D25" s="4" t="s">
        <v>511</v>
      </c>
      <c r="E25" s="4">
        <v>632</v>
      </c>
      <c r="F25" s="4">
        <v>632410552</v>
      </c>
    </row>
    <row r="26" spans="2:6" s="109" customFormat="1">
      <c r="B26" s="4" t="s">
        <v>541</v>
      </c>
      <c r="C26" s="4">
        <v>559</v>
      </c>
      <c r="D26" s="4" t="s">
        <v>513</v>
      </c>
      <c r="E26" s="4">
        <v>632</v>
      </c>
      <c r="F26" s="4">
        <v>632410559</v>
      </c>
    </row>
    <row r="27" spans="2:6" s="109" customFormat="1">
      <c r="B27" s="4" t="s">
        <v>515</v>
      </c>
      <c r="C27" s="4">
        <v>561</v>
      </c>
      <c r="D27" s="4" t="s">
        <v>515</v>
      </c>
      <c r="E27" s="4">
        <v>632</v>
      </c>
      <c r="F27" s="4">
        <v>632410561</v>
      </c>
    </row>
    <row r="28" spans="2:6" s="109" customFormat="1">
      <c r="B28" s="4" t="s">
        <v>526</v>
      </c>
      <c r="C28" s="4">
        <v>563</v>
      </c>
      <c r="D28" s="4" t="s">
        <v>517</v>
      </c>
      <c r="E28" s="4">
        <v>632</v>
      </c>
      <c r="F28" s="4">
        <v>632410563</v>
      </c>
    </row>
    <row r="29" spans="2:6" s="109" customFormat="1">
      <c r="B29" s="4" t="s">
        <v>542</v>
      </c>
      <c r="C29" s="4">
        <v>573</v>
      </c>
      <c r="D29" s="4" t="s">
        <v>519</v>
      </c>
      <c r="E29" s="4">
        <v>632</v>
      </c>
      <c r="F29" s="4">
        <v>632410573</v>
      </c>
    </row>
    <row r="30" spans="2:6">
      <c r="B30" s="4" t="s">
        <v>543</v>
      </c>
      <c r="C30" s="4">
        <v>575</v>
      </c>
      <c r="D30" s="4" t="s">
        <v>521</v>
      </c>
      <c r="E30" s="4">
        <v>632</v>
      </c>
      <c r="F30" s="4">
        <v>632410575</v>
      </c>
    </row>
    <row r="31" spans="2:6">
      <c r="B31" s="160" t="s">
        <v>544</v>
      </c>
      <c r="C31" s="160">
        <v>5761</v>
      </c>
      <c r="D31" s="160" t="s">
        <v>533</v>
      </c>
      <c r="E31" s="160">
        <v>632</v>
      </c>
      <c r="F31" s="160">
        <v>632415761</v>
      </c>
    </row>
    <row r="32" spans="2:6">
      <c r="B32" s="160" t="s">
        <v>545</v>
      </c>
      <c r="C32" s="160">
        <v>5762</v>
      </c>
      <c r="D32" s="160" t="s">
        <v>533</v>
      </c>
      <c r="E32" s="160">
        <v>632</v>
      </c>
      <c r="F32" s="160">
        <v>632415762</v>
      </c>
    </row>
    <row r="33" spans="2:6">
      <c r="B33" s="4" t="s">
        <v>546</v>
      </c>
      <c r="C33" s="4">
        <v>581</v>
      </c>
      <c r="D33" s="4" t="s">
        <v>525</v>
      </c>
      <c r="E33" s="4">
        <v>632</v>
      </c>
      <c r="F33" s="4">
        <v>632410581</v>
      </c>
    </row>
    <row r="34" spans="2:6">
      <c r="B34" s="4" t="s">
        <v>547</v>
      </c>
      <c r="C34" s="4">
        <v>51</v>
      </c>
      <c r="D34" s="4" t="s">
        <v>538</v>
      </c>
      <c r="E34" s="4">
        <v>632</v>
      </c>
      <c r="F34" s="4">
        <v>632411700</v>
      </c>
    </row>
    <row r="35" spans="2:6">
      <c r="B35" s="4" t="s">
        <v>548</v>
      </c>
      <c r="C35" s="4">
        <v>52</v>
      </c>
      <c r="D35" s="4" t="s">
        <v>510</v>
      </c>
      <c r="E35" s="4">
        <v>634</v>
      </c>
      <c r="F35" s="4">
        <v>6341</v>
      </c>
    </row>
    <row r="36" spans="2:6">
      <c r="B36" s="4" t="s">
        <v>549</v>
      </c>
      <c r="C36" s="4">
        <v>52</v>
      </c>
      <c r="D36" s="4" t="s">
        <v>510</v>
      </c>
      <c r="E36" s="4">
        <v>634</v>
      </c>
      <c r="F36" s="4">
        <v>6342</v>
      </c>
    </row>
    <row r="37" spans="2:6">
      <c r="B37" s="4" t="s">
        <v>550</v>
      </c>
      <c r="C37" s="4">
        <v>52</v>
      </c>
      <c r="D37" s="4" t="s">
        <v>510</v>
      </c>
      <c r="E37" s="4">
        <v>636</v>
      </c>
      <c r="F37" s="4">
        <v>6361</v>
      </c>
    </row>
    <row r="38" spans="2:6">
      <c r="B38" s="4" t="s">
        <v>551</v>
      </c>
      <c r="C38" s="4">
        <v>52</v>
      </c>
      <c r="D38" s="4" t="s">
        <v>510</v>
      </c>
      <c r="E38" s="4">
        <v>636</v>
      </c>
      <c r="F38" s="4">
        <v>6362</v>
      </c>
    </row>
    <row r="39" spans="2:6">
      <c r="B39" s="4" t="s">
        <v>552</v>
      </c>
      <c r="C39" s="4">
        <v>52</v>
      </c>
      <c r="D39" s="4" t="s">
        <v>510</v>
      </c>
      <c r="E39" s="4">
        <v>638</v>
      </c>
      <c r="F39" s="4">
        <v>6381</v>
      </c>
    </row>
    <row r="40" spans="2:6">
      <c r="B40" s="4" t="s">
        <v>553</v>
      </c>
      <c r="C40" s="4">
        <v>52</v>
      </c>
      <c r="D40" s="4" t="s">
        <v>510</v>
      </c>
      <c r="E40" s="4">
        <v>638</v>
      </c>
      <c r="F40" s="4">
        <v>6382</v>
      </c>
    </row>
    <row r="41" spans="2:6">
      <c r="B41" s="4" t="s">
        <v>554</v>
      </c>
      <c r="C41" s="4">
        <v>52</v>
      </c>
      <c r="D41" s="4" t="s">
        <v>510</v>
      </c>
      <c r="E41" s="4">
        <v>639</v>
      </c>
      <c r="F41" s="4">
        <v>6391</v>
      </c>
    </row>
    <row r="42" spans="2:6">
      <c r="B42" s="4" t="s">
        <v>555</v>
      </c>
      <c r="C42" s="4">
        <v>52</v>
      </c>
      <c r="D42" s="4" t="s">
        <v>510</v>
      </c>
      <c r="E42" s="4">
        <v>639</v>
      </c>
      <c r="F42" s="4">
        <v>6392</v>
      </c>
    </row>
    <row r="43" spans="2:6">
      <c r="B43" s="4" t="s">
        <v>556</v>
      </c>
      <c r="C43" s="4">
        <v>52</v>
      </c>
      <c r="D43" s="4" t="s">
        <v>510</v>
      </c>
      <c r="E43" s="4">
        <v>639</v>
      </c>
      <c r="F43" s="4">
        <v>6393</v>
      </c>
    </row>
    <row r="44" spans="2:6">
      <c r="B44" s="4" t="s">
        <v>557</v>
      </c>
      <c r="C44" s="4">
        <v>52</v>
      </c>
      <c r="D44" s="4" t="s">
        <v>510</v>
      </c>
      <c r="E44" s="4">
        <v>639</v>
      </c>
      <c r="F44" s="4">
        <v>6394</v>
      </c>
    </row>
    <row r="45" spans="2:6">
      <c r="B45" s="4" t="s">
        <v>558</v>
      </c>
      <c r="C45" s="4">
        <v>31</v>
      </c>
      <c r="D45" s="4" t="s">
        <v>500</v>
      </c>
      <c r="E45" s="4">
        <v>641</v>
      </c>
      <c r="F45" s="4">
        <v>641290031</v>
      </c>
    </row>
    <row r="46" spans="2:6">
      <c r="B46" s="4" t="s">
        <v>559</v>
      </c>
      <c r="C46" s="4">
        <v>31</v>
      </c>
      <c r="D46" s="4" t="s">
        <v>500</v>
      </c>
      <c r="E46" s="4">
        <v>641</v>
      </c>
      <c r="F46" s="4">
        <v>641310031</v>
      </c>
    </row>
    <row r="47" spans="2:6">
      <c r="B47" s="4" t="s">
        <v>560</v>
      </c>
      <c r="C47" s="4">
        <v>31</v>
      </c>
      <c r="D47" s="4" t="s">
        <v>500</v>
      </c>
      <c r="E47" s="4">
        <v>641</v>
      </c>
      <c r="F47" s="4">
        <v>641320031</v>
      </c>
    </row>
    <row r="48" spans="2:6">
      <c r="B48" s="4" t="s">
        <v>561</v>
      </c>
      <c r="C48" s="4">
        <v>43</v>
      </c>
      <c r="D48" s="4" t="s">
        <v>505</v>
      </c>
      <c r="E48" s="4">
        <v>641</v>
      </c>
      <c r="F48" s="4">
        <v>641320043</v>
      </c>
    </row>
    <row r="49" spans="2:6">
      <c r="B49" s="4" t="s">
        <v>562</v>
      </c>
      <c r="C49" s="4">
        <v>31</v>
      </c>
      <c r="D49" s="4" t="s">
        <v>500</v>
      </c>
      <c r="E49" s="4">
        <v>641</v>
      </c>
      <c r="F49" s="4">
        <v>641510031</v>
      </c>
    </row>
    <row r="50" spans="2:6">
      <c r="B50" s="4" t="s">
        <v>563</v>
      </c>
      <c r="C50" s="4">
        <v>43</v>
      </c>
      <c r="D50" s="4" t="s">
        <v>505</v>
      </c>
      <c r="E50" s="4">
        <v>641</v>
      </c>
      <c r="F50" s="4">
        <v>641510043</v>
      </c>
    </row>
    <row r="51" spans="2:6">
      <c r="B51" s="4" t="s">
        <v>564</v>
      </c>
      <c r="C51" s="4">
        <v>31</v>
      </c>
      <c r="D51" s="4" t="s">
        <v>500</v>
      </c>
      <c r="E51" s="4">
        <v>641</v>
      </c>
      <c r="F51" s="4">
        <v>641630031</v>
      </c>
    </row>
    <row r="52" spans="2:6">
      <c r="B52" s="4" t="s">
        <v>565</v>
      </c>
      <c r="C52" s="4">
        <v>43</v>
      </c>
      <c r="D52" s="4" t="s">
        <v>505</v>
      </c>
      <c r="E52" s="4">
        <v>641</v>
      </c>
      <c r="F52" s="4">
        <v>641720043</v>
      </c>
    </row>
    <row r="53" spans="2:6">
      <c r="B53" s="4" t="s">
        <v>566</v>
      </c>
      <c r="C53" s="4">
        <v>41</v>
      </c>
      <c r="D53" s="4" t="s">
        <v>502</v>
      </c>
      <c r="E53" s="4">
        <v>641</v>
      </c>
      <c r="F53" s="4">
        <v>641770041</v>
      </c>
    </row>
    <row r="54" spans="2:6">
      <c r="B54" s="4" t="s">
        <v>567</v>
      </c>
      <c r="C54" s="4">
        <v>43</v>
      </c>
      <c r="D54" s="4" t="s">
        <v>505</v>
      </c>
      <c r="E54" s="4">
        <v>641</v>
      </c>
      <c r="F54" s="4">
        <v>641990043</v>
      </c>
    </row>
    <row r="55" spans="2:6">
      <c r="B55" s="4" t="s">
        <v>568</v>
      </c>
      <c r="C55" s="4">
        <v>31</v>
      </c>
      <c r="D55" s="4" t="s">
        <v>500</v>
      </c>
      <c r="E55" s="4">
        <v>642</v>
      </c>
      <c r="F55" s="4">
        <v>642510031</v>
      </c>
    </row>
    <row r="56" spans="2:6">
      <c r="B56" s="4" t="s">
        <v>569</v>
      </c>
      <c r="C56" s="4">
        <v>31</v>
      </c>
      <c r="D56" s="4" t="s">
        <v>500</v>
      </c>
      <c r="E56" s="4">
        <v>642</v>
      </c>
      <c r="F56" s="4">
        <v>642990031</v>
      </c>
    </row>
    <row r="57" spans="2:6">
      <c r="B57" s="4" t="s">
        <v>570</v>
      </c>
      <c r="C57" s="4">
        <v>43</v>
      </c>
      <c r="D57" s="4" t="s">
        <v>505</v>
      </c>
      <c r="E57" s="4">
        <v>651</v>
      </c>
      <c r="F57" s="4">
        <v>65148</v>
      </c>
    </row>
    <row r="58" spans="2:6">
      <c r="B58" s="4" t="s">
        <v>571</v>
      </c>
      <c r="C58" s="4">
        <v>43</v>
      </c>
      <c r="D58" s="4" t="s">
        <v>505</v>
      </c>
      <c r="E58" s="4">
        <v>652</v>
      </c>
      <c r="F58" s="4">
        <v>65218</v>
      </c>
    </row>
    <row r="59" spans="2:6">
      <c r="B59" s="4" t="s">
        <v>572</v>
      </c>
      <c r="C59" s="4">
        <v>43</v>
      </c>
      <c r="D59" s="4" t="s">
        <v>505</v>
      </c>
      <c r="E59" s="4">
        <v>652</v>
      </c>
      <c r="F59" s="4">
        <v>65264</v>
      </c>
    </row>
    <row r="60" spans="2:6">
      <c r="B60" s="4" t="s">
        <v>573</v>
      </c>
      <c r="C60" s="4">
        <v>43</v>
      </c>
      <c r="D60" s="4" t="s">
        <v>505</v>
      </c>
      <c r="E60" s="4">
        <v>652</v>
      </c>
      <c r="F60" s="4">
        <v>652670043</v>
      </c>
    </row>
    <row r="61" spans="2:6">
      <c r="B61" s="4" t="s">
        <v>574</v>
      </c>
      <c r="C61" s="4">
        <v>71</v>
      </c>
      <c r="D61" s="4" t="s">
        <v>531</v>
      </c>
      <c r="E61" s="4">
        <v>652</v>
      </c>
      <c r="F61" s="4">
        <v>652670071</v>
      </c>
    </row>
    <row r="62" spans="2:6">
      <c r="B62" s="4" t="s">
        <v>575</v>
      </c>
      <c r="C62" s="4">
        <v>43</v>
      </c>
      <c r="D62" s="4" t="s">
        <v>505</v>
      </c>
      <c r="E62" s="4">
        <v>652</v>
      </c>
      <c r="F62" s="4">
        <v>65268</v>
      </c>
    </row>
    <row r="63" spans="2:6">
      <c r="B63" s="4" t="s">
        <v>576</v>
      </c>
      <c r="C63" s="4">
        <v>31</v>
      </c>
      <c r="D63" s="4" t="s">
        <v>500</v>
      </c>
      <c r="E63" s="4">
        <v>661</v>
      </c>
      <c r="F63" s="4">
        <v>6614</v>
      </c>
    </row>
    <row r="64" spans="2:6">
      <c r="B64" s="4" t="s">
        <v>577</v>
      </c>
      <c r="C64" s="4">
        <v>31</v>
      </c>
      <c r="D64" s="4" t="s">
        <v>500</v>
      </c>
      <c r="E64" s="4">
        <v>661</v>
      </c>
      <c r="F64" s="4">
        <v>6615</v>
      </c>
    </row>
    <row r="65" spans="2:6">
      <c r="B65" s="4" t="s">
        <v>578</v>
      </c>
      <c r="C65" s="4">
        <v>61</v>
      </c>
      <c r="D65" s="4" t="s">
        <v>579</v>
      </c>
      <c r="E65" s="4">
        <v>663</v>
      </c>
      <c r="F65" s="4">
        <v>663110000</v>
      </c>
    </row>
    <row r="66" spans="2:6">
      <c r="B66" s="4" t="s">
        <v>580</v>
      </c>
      <c r="C66" s="4">
        <v>61</v>
      </c>
      <c r="D66" s="4" t="s">
        <v>579</v>
      </c>
      <c r="E66" s="4">
        <v>663</v>
      </c>
      <c r="F66" s="4">
        <v>663120000</v>
      </c>
    </row>
    <row r="67" spans="2:6">
      <c r="B67" s="4" t="s">
        <v>581</v>
      </c>
      <c r="C67" s="4">
        <v>61</v>
      </c>
      <c r="D67" s="4" t="s">
        <v>579</v>
      </c>
      <c r="E67" s="4">
        <v>663</v>
      </c>
      <c r="F67" s="4">
        <v>663130000</v>
      </c>
    </row>
    <row r="68" spans="2:6">
      <c r="B68" s="4" t="s">
        <v>582</v>
      </c>
      <c r="C68" s="4">
        <v>61</v>
      </c>
      <c r="D68" s="4" t="s">
        <v>579</v>
      </c>
      <c r="E68" s="4">
        <v>663</v>
      </c>
      <c r="F68" s="4">
        <v>663140000</v>
      </c>
    </row>
    <row r="69" spans="2:6">
      <c r="B69" s="4" t="s">
        <v>583</v>
      </c>
      <c r="C69" s="4">
        <v>61</v>
      </c>
      <c r="D69" s="4" t="s">
        <v>579</v>
      </c>
      <c r="E69" s="4">
        <v>663</v>
      </c>
      <c r="F69" s="4">
        <v>663210000</v>
      </c>
    </row>
    <row r="70" spans="2:6">
      <c r="B70" s="4" t="s">
        <v>584</v>
      </c>
      <c r="C70" s="4">
        <v>61</v>
      </c>
      <c r="D70" s="4" t="s">
        <v>579</v>
      </c>
      <c r="E70" s="4">
        <v>663</v>
      </c>
      <c r="F70" s="4">
        <v>663220000</v>
      </c>
    </row>
    <row r="71" spans="2:6">
      <c r="B71" s="4" t="s">
        <v>585</v>
      </c>
      <c r="C71" s="4">
        <v>61</v>
      </c>
      <c r="D71" s="4" t="s">
        <v>579</v>
      </c>
      <c r="E71" s="4">
        <v>663</v>
      </c>
      <c r="F71" s="4">
        <v>663230000</v>
      </c>
    </row>
    <row r="72" spans="2:6">
      <c r="B72" s="4" t="s">
        <v>586</v>
      </c>
      <c r="C72" s="4">
        <v>61</v>
      </c>
      <c r="D72" s="4" t="s">
        <v>579</v>
      </c>
      <c r="E72" s="4">
        <v>663</v>
      </c>
      <c r="F72" s="4">
        <v>663240000</v>
      </c>
    </row>
    <row r="73" spans="2:6">
      <c r="B73" s="4" t="s">
        <v>592</v>
      </c>
      <c r="C73" s="4">
        <v>43</v>
      </c>
      <c r="D73" s="4" t="s">
        <v>505</v>
      </c>
      <c r="E73" s="4">
        <v>681</v>
      </c>
      <c r="F73" s="4">
        <v>681910043</v>
      </c>
    </row>
    <row r="74" spans="2:6">
      <c r="B74" s="4" t="s">
        <v>593</v>
      </c>
      <c r="C74" s="4">
        <v>31</v>
      </c>
      <c r="D74" s="4" t="s">
        <v>500</v>
      </c>
      <c r="E74" s="4">
        <v>683</v>
      </c>
      <c r="F74" s="4">
        <v>683110031</v>
      </c>
    </row>
    <row r="75" spans="2:6">
      <c r="B75" s="4" t="s">
        <v>594</v>
      </c>
      <c r="C75" s="4">
        <v>43</v>
      </c>
      <c r="D75" s="4" t="s">
        <v>505</v>
      </c>
      <c r="E75" s="4">
        <v>683</v>
      </c>
      <c r="F75" s="4">
        <v>683110043</v>
      </c>
    </row>
    <row r="76" spans="2:6">
      <c r="B76" s="4" t="s">
        <v>595</v>
      </c>
      <c r="C76" s="4">
        <v>71</v>
      </c>
      <c r="D76" s="4" t="s">
        <v>596</v>
      </c>
      <c r="E76" s="4">
        <v>711</v>
      </c>
      <c r="F76" s="4">
        <v>711110071</v>
      </c>
    </row>
    <row r="77" spans="2:6">
      <c r="B77" s="4" t="s">
        <v>597</v>
      </c>
      <c r="C77" s="4">
        <v>71</v>
      </c>
      <c r="D77" s="4" t="s">
        <v>596</v>
      </c>
      <c r="E77" s="4">
        <v>711</v>
      </c>
      <c r="F77" s="4">
        <v>711120071</v>
      </c>
    </row>
    <row r="78" spans="2:6">
      <c r="B78" s="4" t="s">
        <v>598</v>
      </c>
      <c r="C78" s="4">
        <v>71</v>
      </c>
      <c r="D78" s="4" t="s">
        <v>596</v>
      </c>
      <c r="E78" s="4">
        <v>712</v>
      </c>
      <c r="F78" s="4">
        <v>712410071</v>
      </c>
    </row>
    <row r="79" spans="2:6">
      <c r="B79" s="4" t="s">
        <v>599</v>
      </c>
      <c r="C79" s="4">
        <v>71</v>
      </c>
      <c r="D79" s="4" t="s">
        <v>596</v>
      </c>
      <c r="E79" s="4">
        <v>712</v>
      </c>
      <c r="F79" s="4">
        <v>712490071</v>
      </c>
    </row>
    <row r="80" spans="2:6">
      <c r="B80" s="4" t="s">
        <v>600</v>
      </c>
      <c r="C80" s="4">
        <v>71</v>
      </c>
      <c r="D80" s="4" t="s">
        <v>596</v>
      </c>
      <c r="E80" s="4">
        <v>721</v>
      </c>
      <c r="F80" s="4">
        <v>721110071</v>
      </c>
    </row>
    <row r="81" spans="2:6">
      <c r="B81" s="4" t="s">
        <v>601</v>
      </c>
      <c r="C81" s="4">
        <v>71</v>
      </c>
      <c r="D81" s="4" t="s">
        <v>596</v>
      </c>
      <c r="E81" s="4">
        <v>721</v>
      </c>
      <c r="F81" s="4">
        <v>721190071</v>
      </c>
    </row>
    <row r="82" spans="2:6">
      <c r="B82" s="4" t="s">
        <v>602</v>
      </c>
      <c r="C82" s="4">
        <v>71</v>
      </c>
      <c r="D82" s="4" t="s">
        <v>596</v>
      </c>
      <c r="E82" s="4">
        <v>721</v>
      </c>
      <c r="F82" s="4">
        <v>721230071</v>
      </c>
    </row>
    <row r="83" spans="2:6">
      <c r="B83" s="4" t="s">
        <v>603</v>
      </c>
      <c r="C83" s="4">
        <v>71</v>
      </c>
      <c r="D83" s="4" t="s">
        <v>596</v>
      </c>
      <c r="E83" s="4">
        <v>721</v>
      </c>
      <c r="F83" s="4">
        <v>721290071</v>
      </c>
    </row>
    <row r="84" spans="2:6">
      <c r="B84" s="4" t="s">
        <v>604</v>
      </c>
      <c r="C84" s="4">
        <v>71</v>
      </c>
      <c r="D84" s="4" t="s">
        <v>596</v>
      </c>
      <c r="E84" s="4">
        <v>722</v>
      </c>
      <c r="F84" s="4">
        <v>722110071</v>
      </c>
    </row>
    <row r="85" spans="2:6">
      <c r="B85" s="4" t="s">
        <v>605</v>
      </c>
      <c r="C85" s="4">
        <v>71</v>
      </c>
      <c r="D85" s="4" t="s">
        <v>596</v>
      </c>
      <c r="E85" s="4">
        <v>722</v>
      </c>
      <c r="F85" s="4">
        <v>722120071</v>
      </c>
    </row>
    <row r="86" spans="2:6">
      <c r="B86" s="4" t="s">
        <v>606</v>
      </c>
      <c r="C86" s="4">
        <v>71</v>
      </c>
      <c r="D86" s="4" t="s">
        <v>596</v>
      </c>
      <c r="E86" s="4">
        <v>722</v>
      </c>
      <c r="F86" s="4">
        <v>722190071</v>
      </c>
    </row>
    <row r="87" spans="2:6">
      <c r="B87" s="4" t="s">
        <v>607</v>
      </c>
      <c r="C87" s="4">
        <v>71</v>
      </c>
      <c r="D87" s="4" t="s">
        <v>596</v>
      </c>
      <c r="E87" s="4">
        <v>722</v>
      </c>
      <c r="F87" s="4">
        <v>722620071</v>
      </c>
    </row>
    <row r="88" spans="2:6">
      <c r="B88" s="4" t="s">
        <v>608</v>
      </c>
      <c r="C88" s="4">
        <v>71</v>
      </c>
      <c r="D88" s="4" t="s">
        <v>531</v>
      </c>
      <c r="E88" s="4">
        <v>722</v>
      </c>
      <c r="F88" s="4">
        <v>722720071</v>
      </c>
    </row>
    <row r="89" spans="2:6">
      <c r="B89" s="4" t="s">
        <v>609</v>
      </c>
      <c r="C89" s="4">
        <v>71</v>
      </c>
      <c r="D89" s="4" t="s">
        <v>596</v>
      </c>
      <c r="E89" s="4">
        <v>722</v>
      </c>
      <c r="F89" s="4">
        <v>722730071</v>
      </c>
    </row>
    <row r="90" spans="2:6">
      <c r="B90" s="4" t="s">
        <v>610</v>
      </c>
      <c r="C90" s="4">
        <v>71</v>
      </c>
      <c r="D90" s="4" t="s">
        <v>596</v>
      </c>
      <c r="E90" s="4">
        <v>723</v>
      </c>
      <c r="F90" s="4">
        <v>723110071</v>
      </c>
    </row>
    <row r="91" spans="2:6">
      <c r="B91" s="4" t="s">
        <v>611</v>
      </c>
      <c r="C91" s="4">
        <v>71</v>
      </c>
      <c r="D91" s="4" t="s">
        <v>596</v>
      </c>
      <c r="E91" s="4">
        <v>723</v>
      </c>
      <c r="F91" s="4">
        <v>723130071</v>
      </c>
    </row>
    <row r="92" spans="2:6">
      <c r="B92" s="4" t="s">
        <v>612</v>
      </c>
      <c r="C92" s="4">
        <v>71</v>
      </c>
      <c r="D92" s="4" t="s">
        <v>596</v>
      </c>
      <c r="E92" s="4">
        <v>723</v>
      </c>
      <c r="F92" s="4">
        <v>723140071</v>
      </c>
    </row>
    <row r="93" spans="2:6">
      <c r="B93" s="4" t="s">
        <v>613</v>
      </c>
      <c r="C93" s="4">
        <v>71</v>
      </c>
      <c r="D93" s="4" t="s">
        <v>596</v>
      </c>
      <c r="E93" s="4">
        <v>723</v>
      </c>
      <c r="F93" s="4">
        <v>723150071</v>
      </c>
    </row>
    <row r="94" spans="2:6">
      <c r="B94" s="4" t="s">
        <v>614</v>
      </c>
      <c r="C94" s="4">
        <v>71</v>
      </c>
      <c r="D94" s="4" t="s">
        <v>596</v>
      </c>
      <c r="E94" s="4">
        <v>723</v>
      </c>
      <c r="F94" s="4">
        <v>723160071</v>
      </c>
    </row>
    <row r="95" spans="2:6">
      <c r="B95" s="4" t="s">
        <v>615</v>
      </c>
      <c r="C95" s="4">
        <v>71</v>
      </c>
      <c r="D95" s="4" t="s">
        <v>531</v>
      </c>
      <c r="E95" s="4">
        <v>723</v>
      </c>
      <c r="F95" s="4">
        <v>723190071</v>
      </c>
    </row>
    <row r="96" spans="2:6">
      <c r="B96" s="4" t="s">
        <v>616</v>
      </c>
      <c r="C96" s="4">
        <v>71</v>
      </c>
      <c r="D96" s="4" t="s">
        <v>596</v>
      </c>
      <c r="E96" s="4">
        <v>723</v>
      </c>
      <c r="F96" s="4">
        <v>723310071</v>
      </c>
    </row>
    <row r="97" spans="1:6">
      <c r="B97" s="4" t="s">
        <v>617</v>
      </c>
      <c r="C97" s="4">
        <v>71</v>
      </c>
      <c r="D97" s="4" t="s">
        <v>596</v>
      </c>
      <c r="E97" s="4">
        <v>725</v>
      </c>
      <c r="F97" s="4">
        <v>725210071</v>
      </c>
    </row>
    <row r="98" spans="1:6">
      <c r="B98" s="4" t="s">
        <v>618</v>
      </c>
      <c r="C98" s="4">
        <v>43</v>
      </c>
      <c r="D98" s="4" t="s">
        <v>505</v>
      </c>
      <c r="E98" s="4">
        <v>818</v>
      </c>
      <c r="F98" s="4">
        <v>818110043</v>
      </c>
    </row>
    <row r="99" spans="1:6">
      <c r="B99" s="4" t="s">
        <v>619</v>
      </c>
      <c r="C99" s="4">
        <v>43</v>
      </c>
      <c r="D99" s="4" t="s">
        <v>505</v>
      </c>
      <c r="E99" s="4">
        <v>818</v>
      </c>
      <c r="F99" s="4">
        <v>818120043</v>
      </c>
    </row>
    <row r="100" spans="1:6">
      <c r="B100" s="4" t="s">
        <v>620</v>
      </c>
      <c r="C100" s="4">
        <v>43</v>
      </c>
      <c r="D100" s="4" t="s">
        <v>505</v>
      </c>
      <c r="E100" s="4">
        <v>832</v>
      </c>
      <c r="F100" s="4">
        <v>832120043</v>
      </c>
    </row>
    <row r="101" spans="1:6">
      <c r="B101" s="4" t="s">
        <v>621</v>
      </c>
      <c r="C101" s="4">
        <v>43</v>
      </c>
      <c r="D101" s="4" t="s">
        <v>505</v>
      </c>
      <c r="E101" s="4">
        <v>833</v>
      </c>
      <c r="F101" s="4">
        <v>833130043</v>
      </c>
    </row>
    <row r="102" spans="1:6">
      <c r="A102" s="140"/>
      <c r="B102" s="4" t="s">
        <v>622</v>
      </c>
      <c r="C102" s="4">
        <v>81</v>
      </c>
      <c r="D102" s="4" t="s">
        <v>623</v>
      </c>
      <c r="E102" s="4">
        <v>841</v>
      </c>
      <c r="F102" s="4">
        <v>841320000</v>
      </c>
    </row>
    <row r="103" spans="1:6">
      <c r="B103" s="4" t="s">
        <v>626</v>
      </c>
      <c r="C103" s="4">
        <v>81</v>
      </c>
      <c r="D103" s="4" t="s">
        <v>623</v>
      </c>
      <c r="E103" s="4">
        <v>842</v>
      </c>
      <c r="F103" s="4">
        <v>842220081</v>
      </c>
    </row>
    <row r="104" spans="1:6">
      <c r="B104" s="160" t="s">
        <v>624</v>
      </c>
      <c r="C104" s="160">
        <v>81</v>
      </c>
      <c r="D104" s="160" t="s">
        <v>623</v>
      </c>
      <c r="E104" s="160">
        <v>841</v>
      </c>
      <c r="F104" s="160">
        <v>841320150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15"/>
  <sheetViews>
    <sheetView zoomScaleNormal="100" zoomScalePageLayoutView="75" workbookViewId="0">
      <pane xSplit="2" ySplit="3" topLeftCell="C172" activePane="bottomRight" state="frozen"/>
      <selection pane="bottomRight" activeCell="D180" sqref="D180"/>
      <selection pane="bottomLeft" activeCell="A4" sqref="A4"/>
      <selection pane="topRight" activeCell="C1" sqref="C1"/>
    </sheetView>
  </sheetViews>
  <sheetFormatPr defaultColWidth="9.140625" defaultRowHeight="15" customHeight="1"/>
  <cols>
    <col min="1" max="1" width="4.5703125" style="212" customWidth="1"/>
    <col min="2" max="2" width="6.85546875" style="212" customWidth="1"/>
    <col min="3" max="4" width="81.7109375" style="213" customWidth="1"/>
    <col min="5" max="5" width="37.140625" style="213" customWidth="1"/>
    <col min="6" max="6" width="24.7109375" style="214" customWidth="1"/>
    <col min="7" max="7" width="11.7109375" style="213" customWidth="1"/>
    <col min="8" max="8" width="12" style="215" bestFit="1" customWidth="1"/>
    <col min="9" max="9" width="21.7109375" style="163" customWidth="1"/>
    <col min="10" max="257" width="9.140625" style="163"/>
    <col min="258" max="258" width="4.5703125" style="163" customWidth="1"/>
    <col min="259" max="259" width="6.85546875" style="163" customWidth="1"/>
    <col min="260" max="260" width="81.7109375" style="163" customWidth="1"/>
    <col min="261" max="261" width="37.140625" style="163" customWidth="1"/>
    <col min="262" max="262" width="24.7109375" style="163" customWidth="1"/>
    <col min="263" max="263" width="11.7109375" style="163" customWidth="1"/>
    <col min="264" max="264" width="12" style="163" bestFit="1" customWidth="1"/>
    <col min="265" max="265" width="21.7109375" style="163" customWidth="1"/>
    <col min="266" max="513" width="9.140625" style="163"/>
    <col min="514" max="514" width="4.5703125" style="163" customWidth="1"/>
    <col min="515" max="515" width="6.85546875" style="163" customWidth="1"/>
    <col min="516" max="516" width="81.7109375" style="163" customWidth="1"/>
    <col min="517" max="517" width="37.140625" style="163" customWidth="1"/>
    <col min="518" max="518" width="24.7109375" style="163" customWidth="1"/>
    <col min="519" max="519" width="11.7109375" style="163" customWidth="1"/>
    <col min="520" max="520" width="12" style="163" bestFit="1" customWidth="1"/>
    <col min="521" max="521" width="21.7109375" style="163" customWidth="1"/>
    <col min="522" max="769" width="9.140625" style="163"/>
    <col min="770" max="770" width="4.5703125" style="163" customWidth="1"/>
    <col min="771" max="771" width="6.85546875" style="163" customWidth="1"/>
    <col min="772" max="772" width="81.7109375" style="163" customWidth="1"/>
    <col min="773" max="773" width="37.140625" style="163" customWidth="1"/>
    <col min="774" max="774" width="24.7109375" style="163" customWidth="1"/>
    <col min="775" max="775" width="11.7109375" style="163" customWidth="1"/>
    <col min="776" max="776" width="12" style="163" bestFit="1" customWidth="1"/>
    <col min="777" max="777" width="21.7109375" style="163" customWidth="1"/>
    <col min="778" max="1025" width="9.140625" style="163"/>
    <col min="1026" max="1026" width="4.5703125" style="163" customWidth="1"/>
    <col min="1027" max="1027" width="6.85546875" style="163" customWidth="1"/>
    <col min="1028" max="1028" width="81.7109375" style="163" customWidth="1"/>
    <col min="1029" max="1029" width="37.140625" style="163" customWidth="1"/>
    <col min="1030" max="1030" width="24.7109375" style="163" customWidth="1"/>
    <col min="1031" max="1031" width="11.7109375" style="163" customWidth="1"/>
    <col min="1032" max="1032" width="12" style="163" bestFit="1" customWidth="1"/>
    <col min="1033" max="1033" width="21.7109375" style="163" customWidth="1"/>
    <col min="1034" max="1281" width="9.140625" style="163"/>
    <col min="1282" max="1282" width="4.5703125" style="163" customWidth="1"/>
    <col min="1283" max="1283" width="6.85546875" style="163" customWidth="1"/>
    <col min="1284" max="1284" width="81.7109375" style="163" customWidth="1"/>
    <col min="1285" max="1285" width="37.140625" style="163" customWidth="1"/>
    <col min="1286" max="1286" width="24.7109375" style="163" customWidth="1"/>
    <col min="1287" max="1287" width="11.7109375" style="163" customWidth="1"/>
    <col min="1288" max="1288" width="12" style="163" bestFit="1" customWidth="1"/>
    <col min="1289" max="1289" width="21.7109375" style="163" customWidth="1"/>
    <col min="1290" max="1537" width="9.140625" style="163"/>
    <col min="1538" max="1538" width="4.5703125" style="163" customWidth="1"/>
    <col min="1539" max="1539" width="6.85546875" style="163" customWidth="1"/>
    <col min="1540" max="1540" width="81.7109375" style="163" customWidth="1"/>
    <col min="1541" max="1541" width="37.140625" style="163" customWidth="1"/>
    <col min="1542" max="1542" width="24.7109375" style="163" customWidth="1"/>
    <col min="1543" max="1543" width="11.7109375" style="163" customWidth="1"/>
    <col min="1544" max="1544" width="12" style="163" bestFit="1" customWidth="1"/>
    <col min="1545" max="1545" width="21.7109375" style="163" customWidth="1"/>
    <col min="1546" max="1793" width="9.140625" style="163"/>
    <col min="1794" max="1794" width="4.5703125" style="163" customWidth="1"/>
    <col min="1795" max="1795" width="6.85546875" style="163" customWidth="1"/>
    <col min="1796" max="1796" width="81.7109375" style="163" customWidth="1"/>
    <col min="1797" max="1797" width="37.140625" style="163" customWidth="1"/>
    <col min="1798" max="1798" width="24.7109375" style="163" customWidth="1"/>
    <col min="1799" max="1799" width="11.7109375" style="163" customWidth="1"/>
    <col min="1800" max="1800" width="12" style="163" bestFit="1" customWidth="1"/>
    <col min="1801" max="1801" width="21.7109375" style="163" customWidth="1"/>
    <col min="1802" max="2049" width="9.140625" style="163"/>
    <col min="2050" max="2050" width="4.5703125" style="163" customWidth="1"/>
    <col min="2051" max="2051" width="6.85546875" style="163" customWidth="1"/>
    <col min="2052" max="2052" width="81.7109375" style="163" customWidth="1"/>
    <col min="2053" max="2053" width="37.140625" style="163" customWidth="1"/>
    <col min="2054" max="2054" width="24.7109375" style="163" customWidth="1"/>
    <col min="2055" max="2055" width="11.7109375" style="163" customWidth="1"/>
    <col min="2056" max="2056" width="12" style="163" bestFit="1" customWidth="1"/>
    <col min="2057" max="2057" width="21.7109375" style="163" customWidth="1"/>
    <col min="2058" max="2305" width="9.140625" style="163"/>
    <col min="2306" max="2306" width="4.5703125" style="163" customWidth="1"/>
    <col min="2307" max="2307" width="6.85546875" style="163" customWidth="1"/>
    <col min="2308" max="2308" width="81.7109375" style="163" customWidth="1"/>
    <col min="2309" max="2309" width="37.140625" style="163" customWidth="1"/>
    <col min="2310" max="2310" width="24.7109375" style="163" customWidth="1"/>
    <col min="2311" max="2311" width="11.7109375" style="163" customWidth="1"/>
    <col min="2312" max="2312" width="12" style="163" bestFit="1" customWidth="1"/>
    <col min="2313" max="2313" width="21.7109375" style="163" customWidth="1"/>
    <col min="2314" max="2561" width="9.140625" style="163"/>
    <col min="2562" max="2562" width="4.5703125" style="163" customWidth="1"/>
    <col min="2563" max="2563" width="6.85546875" style="163" customWidth="1"/>
    <col min="2564" max="2564" width="81.7109375" style="163" customWidth="1"/>
    <col min="2565" max="2565" width="37.140625" style="163" customWidth="1"/>
    <col min="2566" max="2566" width="24.7109375" style="163" customWidth="1"/>
    <col min="2567" max="2567" width="11.7109375" style="163" customWidth="1"/>
    <col min="2568" max="2568" width="12" style="163" bestFit="1" customWidth="1"/>
    <col min="2569" max="2569" width="21.7109375" style="163" customWidth="1"/>
    <col min="2570" max="2817" width="9.140625" style="163"/>
    <col min="2818" max="2818" width="4.5703125" style="163" customWidth="1"/>
    <col min="2819" max="2819" width="6.85546875" style="163" customWidth="1"/>
    <col min="2820" max="2820" width="81.7109375" style="163" customWidth="1"/>
    <col min="2821" max="2821" width="37.140625" style="163" customWidth="1"/>
    <col min="2822" max="2822" width="24.7109375" style="163" customWidth="1"/>
    <col min="2823" max="2823" width="11.7109375" style="163" customWidth="1"/>
    <col min="2824" max="2824" width="12" style="163" bestFit="1" customWidth="1"/>
    <col min="2825" max="2825" width="21.7109375" style="163" customWidth="1"/>
    <col min="2826" max="3073" width="9.140625" style="163"/>
    <col min="3074" max="3074" width="4.5703125" style="163" customWidth="1"/>
    <col min="3075" max="3075" width="6.85546875" style="163" customWidth="1"/>
    <col min="3076" max="3076" width="81.7109375" style="163" customWidth="1"/>
    <col min="3077" max="3077" width="37.140625" style="163" customWidth="1"/>
    <col min="3078" max="3078" width="24.7109375" style="163" customWidth="1"/>
    <col min="3079" max="3079" width="11.7109375" style="163" customWidth="1"/>
    <col min="3080" max="3080" width="12" style="163" bestFit="1" customWidth="1"/>
    <col min="3081" max="3081" width="21.7109375" style="163" customWidth="1"/>
    <col min="3082" max="3329" width="9.140625" style="163"/>
    <col min="3330" max="3330" width="4.5703125" style="163" customWidth="1"/>
    <col min="3331" max="3331" width="6.85546875" style="163" customWidth="1"/>
    <col min="3332" max="3332" width="81.7109375" style="163" customWidth="1"/>
    <col min="3333" max="3333" width="37.140625" style="163" customWidth="1"/>
    <col min="3334" max="3334" width="24.7109375" style="163" customWidth="1"/>
    <col min="3335" max="3335" width="11.7109375" style="163" customWidth="1"/>
    <col min="3336" max="3336" width="12" style="163" bestFit="1" customWidth="1"/>
    <col min="3337" max="3337" width="21.7109375" style="163" customWidth="1"/>
    <col min="3338" max="3585" width="9.140625" style="163"/>
    <col min="3586" max="3586" width="4.5703125" style="163" customWidth="1"/>
    <col min="3587" max="3587" width="6.85546875" style="163" customWidth="1"/>
    <col min="3588" max="3588" width="81.7109375" style="163" customWidth="1"/>
    <col min="3589" max="3589" width="37.140625" style="163" customWidth="1"/>
    <col min="3590" max="3590" width="24.7109375" style="163" customWidth="1"/>
    <col min="3591" max="3591" width="11.7109375" style="163" customWidth="1"/>
    <col min="3592" max="3592" width="12" style="163" bestFit="1" customWidth="1"/>
    <col min="3593" max="3593" width="21.7109375" style="163" customWidth="1"/>
    <col min="3594" max="3841" width="9.140625" style="163"/>
    <col min="3842" max="3842" width="4.5703125" style="163" customWidth="1"/>
    <col min="3843" max="3843" width="6.85546875" style="163" customWidth="1"/>
    <col min="3844" max="3844" width="81.7109375" style="163" customWidth="1"/>
    <col min="3845" max="3845" width="37.140625" style="163" customWidth="1"/>
    <col min="3846" max="3846" width="24.7109375" style="163" customWidth="1"/>
    <col min="3847" max="3847" width="11.7109375" style="163" customWidth="1"/>
    <col min="3848" max="3848" width="12" style="163" bestFit="1" customWidth="1"/>
    <col min="3849" max="3849" width="21.7109375" style="163" customWidth="1"/>
    <col min="3850" max="4097" width="9.140625" style="163"/>
    <col min="4098" max="4098" width="4.5703125" style="163" customWidth="1"/>
    <col min="4099" max="4099" width="6.85546875" style="163" customWidth="1"/>
    <col min="4100" max="4100" width="81.7109375" style="163" customWidth="1"/>
    <col min="4101" max="4101" width="37.140625" style="163" customWidth="1"/>
    <col min="4102" max="4102" width="24.7109375" style="163" customWidth="1"/>
    <col min="4103" max="4103" width="11.7109375" style="163" customWidth="1"/>
    <col min="4104" max="4104" width="12" style="163" bestFit="1" customWidth="1"/>
    <col min="4105" max="4105" width="21.7109375" style="163" customWidth="1"/>
    <col min="4106" max="4353" width="9.140625" style="163"/>
    <col min="4354" max="4354" width="4.5703125" style="163" customWidth="1"/>
    <col min="4355" max="4355" width="6.85546875" style="163" customWidth="1"/>
    <col min="4356" max="4356" width="81.7109375" style="163" customWidth="1"/>
    <col min="4357" max="4357" width="37.140625" style="163" customWidth="1"/>
    <col min="4358" max="4358" width="24.7109375" style="163" customWidth="1"/>
    <col min="4359" max="4359" width="11.7109375" style="163" customWidth="1"/>
    <col min="4360" max="4360" width="12" style="163" bestFit="1" customWidth="1"/>
    <col min="4361" max="4361" width="21.7109375" style="163" customWidth="1"/>
    <col min="4362" max="4609" width="9.140625" style="163"/>
    <col min="4610" max="4610" width="4.5703125" style="163" customWidth="1"/>
    <col min="4611" max="4611" width="6.85546875" style="163" customWidth="1"/>
    <col min="4612" max="4612" width="81.7109375" style="163" customWidth="1"/>
    <col min="4613" max="4613" width="37.140625" style="163" customWidth="1"/>
    <col min="4614" max="4614" width="24.7109375" style="163" customWidth="1"/>
    <col min="4615" max="4615" width="11.7109375" style="163" customWidth="1"/>
    <col min="4616" max="4616" width="12" style="163" bestFit="1" customWidth="1"/>
    <col min="4617" max="4617" width="21.7109375" style="163" customWidth="1"/>
    <col min="4618" max="4865" width="9.140625" style="163"/>
    <col min="4866" max="4866" width="4.5703125" style="163" customWidth="1"/>
    <col min="4867" max="4867" width="6.85546875" style="163" customWidth="1"/>
    <col min="4868" max="4868" width="81.7109375" style="163" customWidth="1"/>
    <col min="4869" max="4869" width="37.140625" style="163" customWidth="1"/>
    <col min="4870" max="4870" width="24.7109375" style="163" customWidth="1"/>
    <col min="4871" max="4871" width="11.7109375" style="163" customWidth="1"/>
    <col min="4872" max="4872" width="12" style="163" bestFit="1" customWidth="1"/>
    <col min="4873" max="4873" width="21.7109375" style="163" customWidth="1"/>
    <col min="4874" max="5121" width="9.140625" style="163"/>
    <col min="5122" max="5122" width="4.5703125" style="163" customWidth="1"/>
    <col min="5123" max="5123" width="6.85546875" style="163" customWidth="1"/>
    <col min="5124" max="5124" width="81.7109375" style="163" customWidth="1"/>
    <col min="5125" max="5125" width="37.140625" style="163" customWidth="1"/>
    <col min="5126" max="5126" width="24.7109375" style="163" customWidth="1"/>
    <col min="5127" max="5127" width="11.7109375" style="163" customWidth="1"/>
    <col min="5128" max="5128" width="12" style="163" bestFit="1" customWidth="1"/>
    <col min="5129" max="5129" width="21.7109375" style="163" customWidth="1"/>
    <col min="5130" max="5377" width="9.140625" style="163"/>
    <col min="5378" max="5378" width="4.5703125" style="163" customWidth="1"/>
    <col min="5379" max="5379" width="6.85546875" style="163" customWidth="1"/>
    <col min="5380" max="5380" width="81.7109375" style="163" customWidth="1"/>
    <col min="5381" max="5381" width="37.140625" style="163" customWidth="1"/>
    <col min="5382" max="5382" width="24.7109375" style="163" customWidth="1"/>
    <col min="5383" max="5383" width="11.7109375" style="163" customWidth="1"/>
    <col min="5384" max="5384" width="12" style="163" bestFit="1" customWidth="1"/>
    <col min="5385" max="5385" width="21.7109375" style="163" customWidth="1"/>
    <col min="5386" max="5633" width="9.140625" style="163"/>
    <col min="5634" max="5634" width="4.5703125" style="163" customWidth="1"/>
    <col min="5635" max="5635" width="6.85546875" style="163" customWidth="1"/>
    <col min="5636" max="5636" width="81.7109375" style="163" customWidth="1"/>
    <col min="5637" max="5637" width="37.140625" style="163" customWidth="1"/>
    <col min="5638" max="5638" width="24.7109375" style="163" customWidth="1"/>
    <col min="5639" max="5639" width="11.7109375" style="163" customWidth="1"/>
    <col min="5640" max="5640" width="12" style="163" bestFit="1" customWidth="1"/>
    <col min="5641" max="5641" width="21.7109375" style="163" customWidth="1"/>
    <col min="5642" max="5889" width="9.140625" style="163"/>
    <col min="5890" max="5890" width="4.5703125" style="163" customWidth="1"/>
    <col min="5891" max="5891" width="6.85546875" style="163" customWidth="1"/>
    <col min="5892" max="5892" width="81.7109375" style="163" customWidth="1"/>
    <col min="5893" max="5893" width="37.140625" style="163" customWidth="1"/>
    <col min="5894" max="5894" width="24.7109375" style="163" customWidth="1"/>
    <col min="5895" max="5895" width="11.7109375" style="163" customWidth="1"/>
    <col min="5896" max="5896" width="12" style="163" bestFit="1" customWidth="1"/>
    <col min="5897" max="5897" width="21.7109375" style="163" customWidth="1"/>
    <col min="5898" max="6145" width="9.140625" style="163"/>
    <col min="6146" max="6146" width="4.5703125" style="163" customWidth="1"/>
    <col min="6147" max="6147" width="6.85546875" style="163" customWidth="1"/>
    <col min="6148" max="6148" width="81.7109375" style="163" customWidth="1"/>
    <col min="6149" max="6149" width="37.140625" style="163" customWidth="1"/>
    <col min="6150" max="6150" width="24.7109375" style="163" customWidth="1"/>
    <col min="6151" max="6151" width="11.7109375" style="163" customWidth="1"/>
    <col min="6152" max="6152" width="12" style="163" bestFit="1" customWidth="1"/>
    <col min="6153" max="6153" width="21.7109375" style="163" customWidth="1"/>
    <col min="6154" max="6401" width="9.140625" style="163"/>
    <col min="6402" max="6402" width="4.5703125" style="163" customWidth="1"/>
    <col min="6403" max="6403" width="6.85546875" style="163" customWidth="1"/>
    <col min="6404" max="6404" width="81.7109375" style="163" customWidth="1"/>
    <col min="6405" max="6405" width="37.140625" style="163" customWidth="1"/>
    <col min="6406" max="6406" width="24.7109375" style="163" customWidth="1"/>
    <col min="6407" max="6407" width="11.7109375" style="163" customWidth="1"/>
    <col min="6408" max="6408" width="12" style="163" bestFit="1" customWidth="1"/>
    <col min="6409" max="6409" width="21.7109375" style="163" customWidth="1"/>
    <col min="6410" max="6657" width="9.140625" style="163"/>
    <col min="6658" max="6658" width="4.5703125" style="163" customWidth="1"/>
    <col min="6659" max="6659" width="6.85546875" style="163" customWidth="1"/>
    <col min="6660" max="6660" width="81.7109375" style="163" customWidth="1"/>
    <col min="6661" max="6661" width="37.140625" style="163" customWidth="1"/>
    <col min="6662" max="6662" width="24.7109375" style="163" customWidth="1"/>
    <col min="6663" max="6663" width="11.7109375" style="163" customWidth="1"/>
    <col min="6664" max="6664" width="12" style="163" bestFit="1" customWidth="1"/>
    <col min="6665" max="6665" width="21.7109375" style="163" customWidth="1"/>
    <col min="6666" max="6913" width="9.140625" style="163"/>
    <col min="6914" max="6914" width="4.5703125" style="163" customWidth="1"/>
    <col min="6915" max="6915" width="6.85546875" style="163" customWidth="1"/>
    <col min="6916" max="6916" width="81.7109375" style="163" customWidth="1"/>
    <col min="6917" max="6917" width="37.140625" style="163" customWidth="1"/>
    <col min="6918" max="6918" width="24.7109375" style="163" customWidth="1"/>
    <col min="6919" max="6919" width="11.7109375" style="163" customWidth="1"/>
    <col min="6920" max="6920" width="12" style="163" bestFit="1" customWidth="1"/>
    <col min="6921" max="6921" width="21.7109375" style="163" customWidth="1"/>
    <col min="6922" max="7169" width="9.140625" style="163"/>
    <col min="7170" max="7170" width="4.5703125" style="163" customWidth="1"/>
    <col min="7171" max="7171" width="6.85546875" style="163" customWidth="1"/>
    <col min="7172" max="7172" width="81.7109375" style="163" customWidth="1"/>
    <col min="7173" max="7173" width="37.140625" style="163" customWidth="1"/>
    <col min="7174" max="7174" width="24.7109375" style="163" customWidth="1"/>
    <col min="7175" max="7175" width="11.7109375" style="163" customWidth="1"/>
    <col min="7176" max="7176" width="12" style="163" bestFit="1" customWidth="1"/>
    <col min="7177" max="7177" width="21.7109375" style="163" customWidth="1"/>
    <col min="7178" max="7425" width="9.140625" style="163"/>
    <col min="7426" max="7426" width="4.5703125" style="163" customWidth="1"/>
    <col min="7427" max="7427" width="6.85546875" style="163" customWidth="1"/>
    <col min="7428" max="7428" width="81.7109375" style="163" customWidth="1"/>
    <col min="7429" max="7429" width="37.140625" style="163" customWidth="1"/>
    <col min="7430" max="7430" width="24.7109375" style="163" customWidth="1"/>
    <col min="7431" max="7431" width="11.7109375" style="163" customWidth="1"/>
    <col min="7432" max="7432" width="12" style="163" bestFit="1" customWidth="1"/>
    <col min="7433" max="7433" width="21.7109375" style="163" customWidth="1"/>
    <col min="7434" max="7681" width="9.140625" style="163"/>
    <col min="7682" max="7682" width="4.5703125" style="163" customWidth="1"/>
    <col min="7683" max="7683" width="6.85546875" style="163" customWidth="1"/>
    <col min="7684" max="7684" width="81.7109375" style="163" customWidth="1"/>
    <col min="7685" max="7685" width="37.140625" style="163" customWidth="1"/>
    <col min="7686" max="7686" width="24.7109375" style="163" customWidth="1"/>
    <col min="7687" max="7687" width="11.7109375" style="163" customWidth="1"/>
    <col min="7688" max="7688" width="12" style="163" bestFit="1" customWidth="1"/>
    <col min="7689" max="7689" width="21.7109375" style="163" customWidth="1"/>
    <col min="7690" max="7937" width="9.140625" style="163"/>
    <col min="7938" max="7938" width="4.5703125" style="163" customWidth="1"/>
    <col min="7939" max="7939" width="6.85546875" style="163" customWidth="1"/>
    <col min="7940" max="7940" width="81.7109375" style="163" customWidth="1"/>
    <col min="7941" max="7941" width="37.140625" style="163" customWidth="1"/>
    <col min="7942" max="7942" width="24.7109375" style="163" customWidth="1"/>
    <col min="7943" max="7943" width="11.7109375" style="163" customWidth="1"/>
    <col min="7944" max="7944" width="12" style="163" bestFit="1" customWidth="1"/>
    <col min="7945" max="7945" width="21.7109375" style="163" customWidth="1"/>
    <col min="7946" max="8193" width="9.140625" style="163"/>
    <col min="8194" max="8194" width="4.5703125" style="163" customWidth="1"/>
    <col min="8195" max="8195" width="6.85546875" style="163" customWidth="1"/>
    <col min="8196" max="8196" width="81.7109375" style="163" customWidth="1"/>
    <col min="8197" max="8197" width="37.140625" style="163" customWidth="1"/>
    <col min="8198" max="8198" width="24.7109375" style="163" customWidth="1"/>
    <col min="8199" max="8199" width="11.7109375" style="163" customWidth="1"/>
    <col min="8200" max="8200" width="12" style="163" bestFit="1" customWidth="1"/>
    <col min="8201" max="8201" width="21.7109375" style="163" customWidth="1"/>
    <col min="8202" max="8449" width="9.140625" style="163"/>
    <col min="8450" max="8450" width="4.5703125" style="163" customWidth="1"/>
    <col min="8451" max="8451" width="6.85546875" style="163" customWidth="1"/>
    <col min="8452" max="8452" width="81.7109375" style="163" customWidth="1"/>
    <col min="8453" max="8453" width="37.140625" style="163" customWidth="1"/>
    <col min="8454" max="8454" width="24.7109375" style="163" customWidth="1"/>
    <col min="8455" max="8455" width="11.7109375" style="163" customWidth="1"/>
    <col min="8456" max="8456" width="12" style="163" bestFit="1" customWidth="1"/>
    <col min="8457" max="8457" width="21.7109375" style="163" customWidth="1"/>
    <col min="8458" max="8705" width="9.140625" style="163"/>
    <col min="8706" max="8706" width="4.5703125" style="163" customWidth="1"/>
    <col min="8707" max="8707" width="6.85546875" style="163" customWidth="1"/>
    <col min="8708" max="8708" width="81.7109375" style="163" customWidth="1"/>
    <col min="8709" max="8709" width="37.140625" style="163" customWidth="1"/>
    <col min="8710" max="8710" width="24.7109375" style="163" customWidth="1"/>
    <col min="8711" max="8711" width="11.7109375" style="163" customWidth="1"/>
    <col min="8712" max="8712" width="12" style="163" bestFit="1" customWidth="1"/>
    <col min="8713" max="8713" width="21.7109375" style="163" customWidth="1"/>
    <col min="8714" max="8961" width="9.140625" style="163"/>
    <col min="8962" max="8962" width="4.5703125" style="163" customWidth="1"/>
    <col min="8963" max="8963" width="6.85546875" style="163" customWidth="1"/>
    <col min="8964" max="8964" width="81.7109375" style="163" customWidth="1"/>
    <col min="8965" max="8965" width="37.140625" style="163" customWidth="1"/>
    <col min="8966" max="8966" width="24.7109375" style="163" customWidth="1"/>
    <col min="8967" max="8967" width="11.7109375" style="163" customWidth="1"/>
    <col min="8968" max="8968" width="12" style="163" bestFit="1" customWidth="1"/>
    <col min="8969" max="8969" width="21.7109375" style="163" customWidth="1"/>
    <col min="8970" max="9217" width="9.140625" style="163"/>
    <col min="9218" max="9218" width="4.5703125" style="163" customWidth="1"/>
    <col min="9219" max="9219" width="6.85546875" style="163" customWidth="1"/>
    <col min="9220" max="9220" width="81.7109375" style="163" customWidth="1"/>
    <col min="9221" max="9221" width="37.140625" style="163" customWidth="1"/>
    <col min="9222" max="9222" width="24.7109375" style="163" customWidth="1"/>
    <col min="9223" max="9223" width="11.7109375" style="163" customWidth="1"/>
    <col min="9224" max="9224" width="12" style="163" bestFit="1" customWidth="1"/>
    <col min="9225" max="9225" width="21.7109375" style="163" customWidth="1"/>
    <col min="9226" max="9473" width="9.140625" style="163"/>
    <col min="9474" max="9474" width="4.5703125" style="163" customWidth="1"/>
    <col min="9475" max="9475" width="6.85546875" style="163" customWidth="1"/>
    <col min="9476" max="9476" width="81.7109375" style="163" customWidth="1"/>
    <col min="9477" max="9477" width="37.140625" style="163" customWidth="1"/>
    <col min="9478" max="9478" width="24.7109375" style="163" customWidth="1"/>
    <col min="9479" max="9479" width="11.7109375" style="163" customWidth="1"/>
    <col min="9480" max="9480" width="12" style="163" bestFit="1" customWidth="1"/>
    <col min="9481" max="9481" width="21.7109375" style="163" customWidth="1"/>
    <col min="9482" max="9729" width="9.140625" style="163"/>
    <col min="9730" max="9730" width="4.5703125" style="163" customWidth="1"/>
    <col min="9731" max="9731" width="6.85546875" style="163" customWidth="1"/>
    <col min="9732" max="9732" width="81.7109375" style="163" customWidth="1"/>
    <col min="9733" max="9733" width="37.140625" style="163" customWidth="1"/>
    <col min="9734" max="9734" width="24.7109375" style="163" customWidth="1"/>
    <col min="9735" max="9735" width="11.7109375" style="163" customWidth="1"/>
    <col min="9736" max="9736" width="12" style="163" bestFit="1" customWidth="1"/>
    <col min="9737" max="9737" width="21.7109375" style="163" customWidth="1"/>
    <col min="9738" max="9985" width="9.140625" style="163"/>
    <col min="9986" max="9986" width="4.5703125" style="163" customWidth="1"/>
    <col min="9987" max="9987" width="6.85546875" style="163" customWidth="1"/>
    <col min="9988" max="9988" width="81.7109375" style="163" customWidth="1"/>
    <col min="9989" max="9989" width="37.140625" style="163" customWidth="1"/>
    <col min="9990" max="9990" width="24.7109375" style="163" customWidth="1"/>
    <col min="9991" max="9991" width="11.7109375" style="163" customWidth="1"/>
    <col min="9992" max="9992" width="12" style="163" bestFit="1" customWidth="1"/>
    <col min="9993" max="9993" width="21.7109375" style="163" customWidth="1"/>
    <col min="9994" max="10241" width="9.140625" style="163"/>
    <col min="10242" max="10242" width="4.5703125" style="163" customWidth="1"/>
    <col min="10243" max="10243" width="6.85546875" style="163" customWidth="1"/>
    <col min="10244" max="10244" width="81.7109375" style="163" customWidth="1"/>
    <col min="10245" max="10245" width="37.140625" style="163" customWidth="1"/>
    <col min="10246" max="10246" width="24.7109375" style="163" customWidth="1"/>
    <col min="10247" max="10247" width="11.7109375" style="163" customWidth="1"/>
    <col min="10248" max="10248" width="12" style="163" bestFit="1" customWidth="1"/>
    <col min="10249" max="10249" width="21.7109375" style="163" customWidth="1"/>
    <col min="10250" max="10497" width="9.140625" style="163"/>
    <col min="10498" max="10498" width="4.5703125" style="163" customWidth="1"/>
    <col min="10499" max="10499" width="6.85546875" style="163" customWidth="1"/>
    <col min="10500" max="10500" width="81.7109375" style="163" customWidth="1"/>
    <col min="10501" max="10501" width="37.140625" style="163" customWidth="1"/>
    <col min="10502" max="10502" width="24.7109375" style="163" customWidth="1"/>
    <col min="10503" max="10503" width="11.7109375" style="163" customWidth="1"/>
    <col min="10504" max="10504" width="12" style="163" bestFit="1" customWidth="1"/>
    <col min="10505" max="10505" width="21.7109375" style="163" customWidth="1"/>
    <col min="10506" max="10753" width="9.140625" style="163"/>
    <col min="10754" max="10754" width="4.5703125" style="163" customWidth="1"/>
    <col min="10755" max="10755" width="6.85546875" style="163" customWidth="1"/>
    <col min="10756" max="10756" width="81.7109375" style="163" customWidth="1"/>
    <col min="10757" max="10757" width="37.140625" style="163" customWidth="1"/>
    <col min="10758" max="10758" width="24.7109375" style="163" customWidth="1"/>
    <col min="10759" max="10759" width="11.7109375" style="163" customWidth="1"/>
    <col min="10760" max="10760" width="12" style="163" bestFit="1" customWidth="1"/>
    <col min="10761" max="10761" width="21.7109375" style="163" customWidth="1"/>
    <col min="10762" max="11009" width="9.140625" style="163"/>
    <col min="11010" max="11010" width="4.5703125" style="163" customWidth="1"/>
    <col min="11011" max="11011" width="6.85546875" style="163" customWidth="1"/>
    <col min="11012" max="11012" width="81.7109375" style="163" customWidth="1"/>
    <col min="11013" max="11013" width="37.140625" style="163" customWidth="1"/>
    <col min="11014" max="11014" width="24.7109375" style="163" customWidth="1"/>
    <col min="11015" max="11015" width="11.7109375" style="163" customWidth="1"/>
    <col min="11016" max="11016" width="12" style="163" bestFit="1" customWidth="1"/>
    <col min="11017" max="11017" width="21.7109375" style="163" customWidth="1"/>
    <col min="11018" max="11265" width="9.140625" style="163"/>
    <col min="11266" max="11266" width="4.5703125" style="163" customWidth="1"/>
    <col min="11267" max="11267" width="6.85546875" style="163" customWidth="1"/>
    <col min="11268" max="11268" width="81.7109375" style="163" customWidth="1"/>
    <col min="11269" max="11269" width="37.140625" style="163" customWidth="1"/>
    <col min="11270" max="11270" width="24.7109375" style="163" customWidth="1"/>
    <col min="11271" max="11271" width="11.7109375" style="163" customWidth="1"/>
    <col min="11272" max="11272" width="12" style="163" bestFit="1" customWidth="1"/>
    <col min="11273" max="11273" width="21.7109375" style="163" customWidth="1"/>
    <col min="11274" max="11521" width="9.140625" style="163"/>
    <col min="11522" max="11522" width="4.5703125" style="163" customWidth="1"/>
    <col min="11523" max="11523" width="6.85546875" style="163" customWidth="1"/>
    <col min="11524" max="11524" width="81.7109375" style="163" customWidth="1"/>
    <col min="11525" max="11525" width="37.140625" style="163" customWidth="1"/>
    <col min="11526" max="11526" width="24.7109375" style="163" customWidth="1"/>
    <col min="11527" max="11527" width="11.7109375" style="163" customWidth="1"/>
    <col min="11528" max="11528" width="12" style="163" bestFit="1" customWidth="1"/>
    <col min="11529" max="11529" width="21.7109375" style="163" customWidth="1"/>
    <col min="11530" max="11777" width="9.140625" style="163"/>
    <col min="11778" max="11778" width="4.5703125" style="163" customWidth="1"/>
    <col min="11779" max="11779" width="6.85546875" style="163" customWidth="1"/>
    <col min="11780" max="11780" width="81.7109375" style="163" customWidth="1"/>
    <col min="11781" max="11781" width="37.140625" style="163" customWidth="1"/>
    <col min="11782" max="11782" width="24.7109375" style="163" customWidth="1"/>
    <col min="11783" max="11783" width="11.7109375" style="163" customWidth="1"/>
    <col min="11784" max="11784" width="12" style="163" bestFit="1" customWidth="1"/>
    <col min="11785" max="11785" width="21.7109375" style="163" customWidth="1"/>
    <col min="11786" max="12033" width="9.140625" style="163"/>
    <col min="12034" max="12034" width="4.5703125" style="163" customWidth="1"/>
    <col min="12035" max="12035" width="6.85546875" style="163" customWidth="1"/>
    <col min="12036" max="12036" width="81.7109375" style="163" customWidth="1"/>
    <col min="12037" max="12037" width="37.140625" style="163" customWidth="1"/>
    <col min="12038" max="12038" width="24.7109375" style="163" customWidth="1"/>
    <col min="12039" max="12039" width="11.7109375" style="163" customWidth="1"/>
    <col min="12040" max="12040" width="12" style="163" bestFit="1" customWidth="1"/>
    <col min="12041" max="12041" width="21.7109375" style="163" customWidth="1"/>
    <col min="12042" max="12289" width="9.140625" style="163"/>
    <col min="12290" max="12290" width="4.5703125" style="163" customWidth="1"/>
    <col min="12291" max="12291" width="6.85546875" style="163" customWidth="1"/>
    <col min="12292" max="12292" width="81.7109375" style="163" customWidth="1"/>
    <col min="12293" max="12293" width="37.140625" style="163" customWidth="1"/>
    <col min="12294" max="12294" width="24.7109375" style="163" customWidth="1"/>
    <col min="12295" max="12295" width="11.7109375" style="163" customWidth="1"/>
    <col min="12296" max="12296" width="12" style="163" bestFit="1" customWidth="1"/>
    <col min="12297" max="12297" width="21.7109375" style="163" customWidth="1"/>
    <col min="12298" max="12545" width="9.140625" style="163"/>
    <col min="12546" max="12546" width="4.5703125" style="163" customWidth="1"/>
    <col min="12547" max="12547" width="6.85546875" style="163" customWidth="1"/>
    <col min="12548" max="12548" width="81.7109375" style="163" customWidth="1"/>
    <col min="12549" max="12549" width="37.140625" style="163" customWidth="1"/>
    <col min="12550" max="12550" width="24.7109375" style="163" customWidth="1"/>
    <col min="12551" max="12551" width="11.7109375" style="163" customWidth="1"/>
    <col min="12552" max="12552" width="12" style="163" bestFit="1" customWidth="1"/>
    <col min="12553" max="12553" width="21.7109375" style="163" customWidth="1"/>
    <col min="12554" max="12801" width="9.140625" style="163"/>
    <col min="12802" max="12802" width="4.5703125" style="163" customWidth="1"/>
    <col min="12803" max="12803" width="6.85546875" style="163" customWidth="1"/>
    <col min="12804" max="12804" width="81.7109375" style="163" customWidth="1"/>
    <col min="12805" max="12805" width="37.140625" style="163" customWidth="1"/>
    <col min="12806" max="12806" width="24.7109375" style="163" customWidth="1"/>
    <col min="12807" max="12807" width="11.7109375" style="163" customWidth="1"/>
    <col min="12808" max="12808" width="12" style="163" bestFit="1" customWidth="1"/>
    <col min="12809" max="12809" width="21.7109375" style="163" customWidth="1"/>
    <col min="12810" max="13057" width="9.140625" style="163"/>
    <col min="13058" max="13058" width="4.5703125" style="163" customWidth="1"/>
    <col min="13059" max="13059" width="6.85546875" style="163" customWidth="1"/>
    <col min="13060" max="13060" width="81.7109375" style="163" customWidth="1"/>
    <col min="13061" max="13061" width="37.140625" style="163" customWidth="1"/>
    <col min="13062" max="13062" width="24.7109375" style="163" customWidth="1"/>
    <col min="13063" max="13063" width="11.7109375" style="163" customWidth="1"/>
    <col min="13064" max="13064" width="12" style="163" bestFit="1" customWidth="1"/>
    <col min="13065" max="13065" width="21.7109375" style="163" customWidth="1"/>
    <col min="13066" max="13313" width="9.140625" style="163"/>
    <col min="13314" max="13314" width="4.5703125" style="163" customWidth="1"/>
    <col min="13315" max="13315" width="6.85546875" style="163" customWidth="1"/>
    <col min="13316" max="13316" width="81.7109375" style="163" customWidth="1"/>
    <col min="13317" max="13317" width="37.140625" style="163" customWidth="1"/>
    <col min="13318" max="13318" width="24.7109375" style="163" customWidth="1"/>
    <col min="13319" max="13319" width="11.7109375" style="163" customWidth="1"/>
    <col min="13320" max="13320" width="12" style="163" bestFit="1" customWidth="1"/>
    <col min="13321" max="13321" width="21.7109375" style="163" customWidth="1"/>
    <col min="13322" max="13569" width="9.140625" style="163"/>
    <col min="13570" max="13570" width="4.5703125" style="163" customWidth="1"/>
    <col min="13571" max="13571" width="6.85546875" style="163" customWidth="1"/>
    <col min="13572" max="13572" width="81.7109375" style="163" customWidth="1"/>
    <col min="13573" max="13573" width="37.140625" style="163" customWidth="1"/>
    <col min="13574" max="13574" width="24.7109375" style="163" customWidth="1"/>
    <col min="13575" max="13575" width="11.7109375" style="163" customWidth="1"/>
    <col min="13576" max="13576" width="12" style="163" bestFit="1" customWidth="1"/>
    <col min="13577" max="13577" width="21.7109375" style="163" customWidth="1"/>
    <col min="13578" max="13825" width="9.140625" style="163"/>
    <col min="13826" max="13826" width="4.5703125" style="163" customWidth="1"/>
    <col min="13827" max="13827" width="6.85546875" style="163" customWidth="1"/>
    <col min="13828" max="13828" width="81.7109375" style="163" customWidth="1"/>
    <col min="13829" max="13829" width="37.140625" style="163" customWidth="1"/>
    <col min="13830" max="13830" width="24.7109375" style="163" customWidth="1"/>
    <col min="13831" max="13831" width="11.7109375" style="163" customWidth="1"/>
    <col min="13832" max="13832" width="12" style="163" bestFit="1" customWidth="1"/>
    <col min="13833" max="13833" width="21.7109375" style="163" customWidth="1"/>
    <col min="13834" max="14081" width="9.140625" style="163"/>
    <col min="14082" max="14082" width="4.5703125" style="163" customWidth="1"/>
    <col min="14083" max="14083" width="6.85546875" style="163" customWidth="1"/>
    <col min="14084" max="14084" width="81.7109375" style="163" customWidth="1"/>
    <col min="14085" max="14085" width="37.140625" style="163" customWidth="1"/>
    <col min="14086" max="14086" width="24.7109375" style="163" customWidth="1"/>
    <col min="14087" max="14087" width="11.7109375" style="163" customWidth="1"/>
    <col min="14088" max="14088" width="12" style="163" bestFit="1" customWidth="1"/>
    <col min="14089" max="14089" width="21.7109375" style="163" customWidth="1"/>
    <col min="14090" max="14337" width="9.140625" style="163"/>
    <col min="14338" max="14338" width="4.5703125" style="163" customWidth="1"/>
    <col min="14339" max="14339" width="6.85546875" style="163" customWidth="1"/>
    <col min="14340" max="14340" width="81.7109375" style="163" customWidth="1"/>
    <col min="14341" max="14341" width="37.140625" style="163" customWidth="1"/>
    <col min="14342" max="14342" width="24.7109375" style="163" customWidth="1"/>
    <col min="14343" max="14343" width="11.7109375" style="163" customWidth="1"/>
    <col min="14344" max="14344" width="12" style="163" bestFit="1" customWidth="1"/>
    <col min="14345" max="14345" width="21.7109375" style="163" customWidth="1"/>
    <col min="14346" max="14593" width="9.140625" style="163"/>
    <col min="14594" max="14594" width="4.5703125" style="163" customWidth="1"/>
    <col min="14595" max="14595" width="6.85546875" style="163" customWidth="1"/>
    <col min="14596" max="14596" width="81.7109375" style="163" customWidth="1"/>
    <col min="14597" max="14597" width="37.140625" style="163" customWidth="1"/>
    <col min="14598" max="14598" width="24.7109375" style="163" customWidth="1"/>
    <col min="14599" max="14599" width="11.7109375" style="163" customWidth="1"/>
    <col min="14600" max="14600" width="12" style="163" bestFit="1" customWidth="1"/>
    <col min="14601" max="14601" width="21.7109375" style="163" customWidth="1"/>
    <col min="14602" max="14849" width="9.140625" style="163"/>
    <col min="14850" max="14850" width="4.5703125" style="163" customWidth="1"/>
    <col min="14851" max="14851" width="6.85546875" style="163" customWidth="1"/>
    <col min="14852" max="14852" width="81.7109375" style="163" customWidth="1"/>
    <col min="14853" max="14853" width="37.140625" style="163" customWidth="1"/>
    <col min="14854" max="14854" width="24.7109375" style="163" customWidth="1"/>
    <col min="14855" max="14855" width="11.7109375" style="163" customWidth="1"/>
    <col min="14856" max="14856" width="12" style="163" bestFit="1" customWidth="1"/>
    <col min="14857" max="14857" width="21.7109375" style="163" customWidth="1"/>
    <col min="14858" max="15105" width="9.140625" style="163"/>
    <col min="15106" max="15106" width="4.5703125" style="163" customWidth="1"/>
    <col min="15107" max="15107" width="6.85546875" style="163" customWidth="1"/>
    <col min="15108" max="15108" width="81.7109375" style="163" customWidth="1"/>
    <col min="15109" max="15109" width="37.140625" style="163" customWidth="1"/>
    <col min="15110" max="15110" width="24.7109375" style="163" customWidth="1"/>
    <col min="15111" max="15111" width="11.7109375" style="163" customWidth="1"/>
    <col min="15112" max="15112" width="12" style="163" bestFit="1" customWidth="1"/>
    <col min="15113" max="15113" width="21.7109375" style="163" customWidth="1"/>
    <col min="15114" max="15361" width="9.140625" style="163"/>
    <col min="15362" max="15362" width="4.5703125" style="163" customWidth="1"/>
    <col min="15363" max="15363" width="6.85546875" style="163" customWidth="1"/>
    <col min="15364" max="15364" width="81.7109375" style="163" customWidth="1"/>
    <col min="15365" max="15365" width="37.140625" style="163" customWidth="1"/>
    <col min="15366" max="15366" width="24.7109375" style="163" customWidth="1"/>
    <col min="15367" max="15367" width="11.7109375" style="163" customWidth="1"/>
    <col min="15368" max="15368" width="12" style="163" bestFit="1" customWidth="1"/>
    <col min="15369" max="15369" width="21.7109375" style="163" customWidth="1"/>
    <col min="15370" max="15617" width="9.140625" style="163"/>
    <col min="15618" max="15618" width="4.5703125" style="163" customWidth="1"/>
    <col min="15619" max="15619" width="6.85546875" style="163" customWidth="1"/>
    <col min="15620" max="15620" width="81.7109375" style="163" customWidth="1"/>
    <col min="15621" max="15621" width="37.140625" style="163" customWidth="1"/>
    <col min="15622" max="15622" width="24.7109375" style="163" customWidth="1"/>
    <col min="15623" max="15623" width="11.7109375" style="163" customWidth="1"/>
    <col min="15624" max="15624" width="12" style="163" bestFit="1" customWidth="1"/>
    <col min="15625" max="15625" width="21.7109375" style="163" customWidth="1"/>
    <col min="15626" max="15873" width="9.140625" style="163"/>
    <col min="15874" max="15874" width="4.5703125" style="163" customWidth="1"/>
    <col min="15875" max="15875" width="6.85546875" style="163" customWidth="1"/>
    <col min="15876" max="15876" width="81.7109375" style="163" customWidth="1"/>
    <col min="15877" max="15877" width="37.140625" style="163" customWidth="1"/>
    <col min="15878" max="15878" width="24.7109375" style="163" customWidth="1"/>
    <col min="15879" max="15879" width="11.7109375" style="163" customWidth="1"/>
    <col min="15880" max="15880" width="12" style="163" bestFit="1" customWidth="1"/>
    <col min="15881" max="15881" width="21.7109375" style="163" customWidth="1"/>
    <col min="15882" max="16129" width="9.140625" style="163"/>
    <col min="16130" max="16130" width="4.5703125" style="163" customWidth="1"/>
    <col min="16131" max="16131" width="6.85546875" style="163" customWidth="1"/>
    <col min="16132" max="16132" width="81.7109375" style="163" customWidth="1"/>
    <col min="16133" max="16133" width="37.140625" style="163" customWidth="1"/>
    <col min="16134" max="16134" width="24.7109375" style="163" customWidth="1"/>
    <col min="16135" max="16135" width="11.7109375" style="163" customWidth="1"/>
    <col min="16136" max="16136" width="12" style="163" bestFit="1" customWidth="1"/>
    <col min="16137" max="16137" width="21.7109375" style="163" customWidth="1"/>
    <col min="16138" max="16384" width="9.140625" style="163"/>
  </cols>
  <sheetData>
    <row r="1" spans="1:10" ht="18" customHeight="1" thickBot="1">
      <c r="A1" s="277" t="s">
        <v>3743</v>
      </c>
      <c r="B1" s="277"/>
      <c r="C1" s="277"/>
      <c r="D1" s="277"/>
      <c r="E1" s="277"/>
      <c r="F1" s="277"/>
      <c r="G1" s="277"/>
      <c r="H1" s="277"/>
    </row>
    <row r="2" spans="1:10" ht="30" customHeight="1" thickTop="1">
      <c r="A2" s="164" t="s">
        <v>6</v>
      </c>
      <c r="B2" s="165" t="s">
        <v>8</v>
      </c>
      <c r="C2" s="165" t="s">
        <v>9</v>
      </c>
      <c r="D2" s="165"/>
      <c r="E2" s="165" t="s">
        <v>11</v>
      </c>
      <c r="F2" s="165" t="s">
        <v>12</v>
      </c>
      <c r="G2" s="165" t="s">
        <v>13</v>
      </c>
      <c r="H2" s="166" t="s">
        <v>14</v>
      </c>
    </row>
    <row r="3" spans="1:10" s="172" customFormat="1" ht="12" customHeight="1" thickBot="1">
      <c r="A3" s="167">
        <v>1</v>
      </c>
      <c r="B3" s="168">
        <v>2</v>
      </c>
      <c r="C3" s="168" t="s">
        <v>3744</v>
      </c>
      <c r="D3" s="168"/>
      <c r="E3" s="169">
        <v>4</v>
      </c>
      <c r="F3" s="170">
        <v>5</v>
      </c>
      <c r="G3" s="170">
        <v>6</v>
      </c>
      <c r="H3" s="171">
        <v>7</v>
      </c>
    </row>
    <row r="4" spans="1:10" s="178" customFormat="1" ht="15" customHeight="1" thickTop="1">
      <c r="A4" s="173">
        <v>1</v>
      </c>
      <c r="B4" s="174">
        <v>19</v>
      </c>
      <c r="C4" s="175" t="s">
        <v>3745</v>
      </c>
      <c r="D4" s="186" t="str">
        <f t="shared" ref="D4:D67" si="0">C4&amp;" ("&amp;B4&amp;")"</f>
        <v>HRVATSKI SABOR (19)</v>
      </c>
      <c r="E4" s="175" t="s">
        <v>3746</v>
      </c>
      <c r="F4" s="175" t="s">
        <v>25</v>
      </c>
      <c r="G4" s="176">
        <v>3205860</v>
      </c>
      <c r="H4" s="177" t="s">
        <v>3747</v>
      </c>
    </row>
    <row r="5" spans="1:10" s="178" customFormat="1" ht="15" customHeight="1">
      <c r="A5" s="173">
        <f>+A4+1</f>
        <v>2</v>
      </c>
      <c r="B5" s="179">
        <v>52321</v>
      </c>
      <c r="C5" s="175" t="s">
        <v>3748</v>
      </c>
      <c r="D5" s="186" t="str">
        <f t="shared" si="0"/>
        <v>POVJERENSTVO ZA FISKALNU POLITIKU (52321)</v>
      </c>
      <c r="E5" s="175" t="s">
        <v>3749</v>
      </c>
      <c r="F5" s="175" t="s">
        <v>25</v>
      </c>
      <c r="G5" s="176">
        <v>5513260</v>
      </c>
      <c r="H5" s="177" t="s">
        <v>3750</v>
      </c>
    </row>
    <row r="6" spans="1:10" s="178" customFormat="1" ht="15" customHeight="1">
      <c r="A6" s="173">
        <f t="shared" ref="A6:A69" si="1">+A5+1</f>
        <v>3</v>
      </c>
      <c r="B6" s="180">
        <v>42434</v>
      </c>
      <c r="C6" s="181" t="s">
        <v>3751</v>
      </c>
      <c r="D6" s="186" t="str">
        <f t="shared" si="0"/>
        <v>DRŽAVNO IZBORNO POVJERENSTVO REPUBLIKE HRVATSKE (42434)</v>
      </c>
      <c r="E6" s="181" t="s">
        <v>3752</v>
      </c>
      <c r="F6" s="181" t="s">
        <v>25</v>
      </c>
      <c r="G6" s="182">
        <v>2197278</v>
      </c>
      <c r="H6" s="183" t="s">
        <v>3753</v>
      </c>
    </row>
    <row r="7" spans="1:10" s="178" customFormat="1" ht="15" customHeight="1">
      <c r="A7" s="173">
        <f t="shared" si="1"/>
        <v>4</v>
      </c>
      <c r="B7" s="180">
        <v>46028</v>
      </c>
      <c r="C7" s="175" t="s">
        <v>3754</v>
      </c>
      <c r="D7" s="186" t="str">
        <f t="shared" si="0"/>
        <v>URED PREDSJEDNICE REPUBLIKE HRVATSKE PO PRESTANKU OBNAŠANJA DUŽNOSTI (46028)</v>
      </c>
      <c r="E7" s="175" t="s">
        <v>3755</v>
      </c>
      <c r="F7" s="175" t="s">
        <v>25</v>
      </c>
      <c r="G7" s="176">
        <v>2611660</v>
      </c>
      <c r="H7" s="177" t="s">
        <v>3756</v>
      </c>
    </row>
    <row r="8" spans="1:10" ht="15" customHeight="1">
      <c r="A8" s="173">
        <f t="shared" si="1"/>
        <v>5</v>
      </c>
      <c r="B8" s="180">
        <v>35</v>
      </c>
      <c r="C8" s="175" t="s">
        <v>3757</v>
      </c>
      <c r="D8" s="186" t="str">
        <f t="shared" si="0"/>
        <v>URED PREDSJEDNIKA REPUBLIKE HRVATSKE (35)</v>
      </c>
      <c r="E8" s="175" t="s">
        <v>3758</v>
      </c>
      <c r="F8" s="175" t="s">
        <v>25</v>
      </c>
      <c r="G8" s="176">
        <v>3220346</v>
      </c>
      <c r="H8" s="177" t="s">
        <v>3759</v>
      </c>
      <c r="J8" s="178"/>
    </row>
    <row r="9" spans="1:10" s="178" customFormat="1" ht="15" customHeight="1">
      <c r="A9" s="173">
        <f t="shared" si="1"/>
        <v>6</v>
      </c>
      <c r="B9" s="180">
        <v>6031</v>
      </c>
      <c r="C9" s="175" t="s">
        <v>3760</v>
      </c>
      <c r="D9" s="186" t="str">
        <f t="shared" si="0"/>
        <v>USTAVNI SUD REPUBLIKE HRVATSKE (6031)</v>
      </c>
      <c r="E9" s="175" t="s">
        <v>3761</v>
      </c>
      <c r="F9" s="175" t="s">
        <v>25</v>
      </c>
      <c r="G9" s="176">
        <v>3206084</v>
      </c>
      <c r="H9" s="177" t="s">
        <v>3762</v>
      </c>
    </row>
    <row r="10" spans="1:10" s="178" customFormat="1" ht="15" customHeight="1">
      <c r="A10" s="173">
        <f t="shared" si="1"/>
        <v>7</v>
      </c>
      <c r="B10" s="180">
        <v>20833</v>
      </c>
      <c r="C10" s="175" t="s">
        <v>3763</v>
      </c>
      <c r="D10" s="186" t="str">
        <f t="shared" si="0"/>
        <v>AGENCIJA ZA ZAŠTITU TRŽIŠNOG NATJECANJA (20833)</v>
      </c>
      <c r="E10" s="175" t="s">
        <v>3764</v>
      </c>
      <c r="F10" s="175" t="s">
        <v>25</v>
      </c>
      <c r="G10" s="176">
        <v>1253433</v>
      </c>
      <c r="H10" s="177" t="s">
        <v>3765</v>
      </c>
    </row>
    <row r="11" spans="1:10" s="178" customFormat="1" ht="15" customHeight="1">
      <c r="A11" s="173">
        <f t="shared" si="1"/>
        <v>8</v>
      </c>
      <c r="B11" s="180">
        <v>51</v>
      </c>
      <c r="C11" s="175" t="s">
        <v>3766</v>
      </c>
      <c r="D11" s="186" t="str">
        <f t="shared" si="0"/>
        <v>VLADA REPUBLIKE HRVATSKE (51)</v>
      </c>
      <c r="E11" s="175" t="s">
        <v>3767</v>
      </c>
      <c r="F11" s="175" t="s">
        <v>25</v>
      </c>
      <c r="G11" s="176">
        <v>3205924</v>
      </c>
      <c r="H11" s="177" t="s">
        <v>3768</v>
      </c>
    </row>
    <row r="12" spans="1:10" ht="15" customHeight="1">
      <c r="A12" s="184">
        <f t="shared" si="1"/>
        <v>9</v>
      </c>
      <c r="B12" s="185">
        <v>23753</v>
      </c>
      <c r="C12" s="186" t="s">
        <v>3769</v>
      </c>
      <c r="D12" s="186" t="str">
        <f t="shared" si="0"/>
        <v>URED PREDSJEDNIKA VLADE REPUBLIKE HRVATSKE (23753)</v>
      </c>
      <c r="E12" s="186" t="s">
        <v>3767</v>
      </c>
      <c r="F12" s="186" t="s">
        <v>25</v>
      </c>
      <c r="G12" s="187">
        <v>1676504</v>
      </c>
      <c r="H12" s="188" t="s">
        <v>3770</v>
      </c>
      <c r="J12" s="178"/>
    </row>
    <row r="13" spans="1:10" ht="15" customHeight="1">
      <c r="A13" s="184">
        <f t="shared" si="1"/>
        <v>10</v>
      </c>
      <c r="B13" s="185">
        <v>51386</v>
      </c>
      <c r="C13" s="186" t="s">
        <v>3771</v>
      </c>
      <c r="D13" s="186" t="str">
        <f t="shared" si="0"/>
        <v>URED POTPREDSJEDNIKA VLADE REPUBLIKE HRVATSKE (51386)</v>
      </c>
      <c r="E13" s="186" t="s">
        <v>3767</v>
      </c>
      <c r="F13" s="186" t="s">
        <v>25</v>
      </c>
      <c r="G13" s="187">
        <v>5294584</v>
      </c>
      <c r="H13" s="188" t="s">
        <v>3772</v>
      </c>
      <c r="J13" s="178"/>
    </row>
    <row r="14" spans="1:10" ht="15" customHeight="1">
      <c r="A14" s="184">
        <f t="shared" si="1"/>
        <v>11</v>
      </c>
      <c r="B14" s="185">
        <v>22275</v>
      </c>
      <c r="C14" s="186" t="s">
        <v>3773</v>
      </c>
      <c r="D14" s="186" t="str">
        <f t="shared" si="0"/>
        <v>URED ZA UDRUGE (22275)</v>
      </c>
      <c r="E14" s="186" t="s">
        <v>3774</v>
      </c>
      <c r="F14" s="186" t="s">
        <v>25</v>
      </c>
      <c r="G14" s="187">
        <v>1404113</v>
      </c>
      <c r="H14" s="188" t="s">
        <v>3775</v>
      </c>
      <c r="J14" s="178"/>
    </row>
    <row r="15" spans="1:10" ht="15" customHeight="1">
      <c r="A15" s="184">
        <f t="shared" si="1"/>
        <v>12</v>
      </c>
      <c r="B15" s="185">
        <v>47406</v>
      </c>
      <c r="C15" s="186" t="s">
        <v>3776</v>
      </c>
      <c r="D15" s="186" t="str">
        <f t="shared" si="0"/>
        <v>URED ZASTUPNIKA REPUBLIKE HRVATSKE PRED EUROPSKIM SUDOM ZA LJUDSKA PRAVA  (47406)</v>
      </c>
      <c r="E15" s="186" t="s">
        <v>3777</v>
      </c>
      <c r="F15" s="186" t="s">
        <v>25</v>
      </c>
      <c r="G15" s="187">
        <v>2864851</v>
      </c>
      <c r="H15" s="188" t="s">
        <v>3778</v>
      </c>
      <c r="J15" s="178"/>
    </row>
    <row r="16" spans="1:10" ht="15" customHeight="1">
      <c r="A16" s="184">
        <f t="shared" si="1"/>
        <v>13</v>
      </c>
      <c r="B16" s="185">
        <v>23979</v>
      </c>
      <c r="C16" s="186" t="s">
        <v>3779</v>
      </c>
      <c r="D16" s="186" t="str">
        <f t="shared" si="0"/>
        <v>STRUČNA SLUŽBA SAVJETA ZA NACIONALNE MANJINE (23979)</v>
      </c>
      <c r="E16" s="186" t="s">
        <v>3780</v>
      </c>
      <c r="F16" s="186" t="s">
        <v>25</v>
      </c>
      <c r="G16" s="187">
        <v>1730118</v>
      </c>
      <c r="H16" s="188" t="s">
        <v>3781</v>
      </c>
      <c r="J16" s="178"/>
    </row>
    <row r="17" spans="1:8" ht="15" customHeight="1">
      <c r="A17" s="184">
        <f t="shared" si="1"/>
        <v>14</v>
      </c>
      <c r="B17" s="185">
        <v>115</v>
      </c>
      <c r="C17" s="186" t="s">
        <v>3782</v>
      </c>
      <c r="D17" s="186" t="str">
        <f t="shared" si="0"/>
        <v>URED ZA ZAKONODAVSTVO (115)</v>
      </c>
      <c r="E17" s="186" t="s">
        <v>3767</v>
      </c>
      <c r="F17" s="186" t="s">
        <v>25</v>
      </c>
      <c r="G17" s="187">
        <v>3205959</v>
      </c>
      <c r="H17" s="188" t="s">
        <v>3783</v>
      </c>
    </row>
    <row r="18" spans="1:8" ht="15" customHeight="1">
      <c r="A18" s="184">
        <f t="shared" si="1"/>
        <v>15</v>
      </c>
      <c r="B18" s="185">
        <v>123</v>
      </c>
      <c r="C18" s="186" t="s">
        <v>3784</v>
      </c>
      <c r="D18" s="186" t="str">
        <f t="shared" si="0"/>
        <v>URED ZA OPĆE POSLOVE HRVATSKOG SABORA I VLADE REPUBLIKE HRVATSKE (123)</v>
      </c>
      <c r="E18" s="186" t="s">
        <v>3785</v>
      </c>
      <c r="F18" s="186" t="s">
        <v>25</v>
      </c>
      <c r="G18" s="187">
        <v>3205916</v>
      </c>
      <c r="H18" s="188" t="s">
        <v>3786</v>
      </c>
    </row>
    <row r="19" spans="1:8" ht="15" customHeight="1">
      <c r="A19" s="184">
        <f t="shared" si="1"/>
        <v>16</v>
      </c>
      <c r="B19" s="185">
        <v>23673</v>
      </c>
      <c r="C19" s="186" t="s">
        <v>3787</v>
      </c>
      <c r="D19" s="186" t="str">
        <f t="shared" si="0"/>
        <v>URED ZA PROTOKOL (23673)</v>
      </c>
      <c r="E19" s="186" t="s">
        <v>3767</v>
      </c>
      <c r="F19" s="186" t="s">
        <v>25</v>
      </c>
      <c r="G19" s="187">
        <v>1594478</v>
      </c>
      <c r="H19" s="188" t="s">
        <v>3788</v>
      </c>
    </row>
    <row r="20" spans="1:8" ht="15" customHeight="1">
      <c r="A20" s="184">
        <f t="shared" si="1"/>
        <v>17</v>
      </c>
      <c r="B20" s="185">
        <v>23745</v>
      </c>
      <c r="C20" s="186" t="s">
        <v>3789</v>
      </c>
      <c r="D20" s="186" t="str">
        <f t="shared" si="0"/>
        <v>URED VLADE REPUBLIKE HRVATSKE ZA UNUTARNJU REVIZIJU (23745)</v>
      </c>
      <c r="E20" s="186" t="s">
        <v>3790</v>
      </c>
      <c r="F20" s="186" t="s">
        <v>25</v>
      </c>
      <c r="G20" s="187">
        <v>1654098</v>
      </c>
      <c r="H20" s="188" t="s">
        <v>3791</v>
      </c>
    </row>
    <row r="21" spans="1:8" ht="24">
      <c r="A21" s="184">
        <f t="shared" si="1"/>
        <v>18</v>
      </c>
      <c r="B21" s="185">
        <v>23690</v>
      </c>
      <c r="C21" s="186" t="s">
        <v>3792</v>
      </c>
      <c r="D21" s="186" t="str">
        <f t="shared" si="0"/>
        <v>DIREKCIJA ZA KORIŠTENJE SLUŽBENIH ZRAKOPLOVA (23690)</v>
      </c>
      <c r="E21" s="186" t="s">
        <v>3793</v>
      </c>
      <c r="F21" s="186" t="s">
        <v>3794</v>
      </c>
      <c r="G21" s="187">
        <v>1604686</v>
      </c>
      <c r="H21" s="188" t="s">
        <v>3795</v>
      </c>
    </row>
    <row r="22" spans="1:8" ht="15" customHeight="1">
      <c r="A22" s="184">
        <f t="shared" si="1"/>
        <v>19</v>
      </c>
      <c r="B22" s="185">
        <v>47422</v>
      </c>
      <c r="C22" s="186" t="s">
        <v>3796</v>
      </c>
      <c r="D22" s="186" t="str">
        <f t="shared" si="0"/>
        <v>URED ZA LJUDSKA PRAVA I PRAVA NACIONALNH MANJINA (47422)</v>
      </c>
      <c r="E22" s="186" t="s">
        <v>3780</v>
      </c>
      <c r="F22" s="186" t="s">
        <v>25</v>
      </c>
      <c r="G22" s="187">
        <v>2872781</v>
      </c>
      <c r="H22" s="188" t="s">
        <v>3797</v>
      </c>
    </row>
    <row r="23" spans="1:8" ht="15" customHeight="1">
      <c r="A23" s="184">
        <f t="shared" si="1"/>
        <v>20</v>
      </c>
      <c r="B23" s="185">
        <v>48066</v>
      </c>
      <c r="C23" s="186" t="s">
        <v>3798</v>
      </c>
      <c r="D23" s="186" t="str">
        <f t="shared" si="0"/>
        <v>URED KOMISIJE ZA ODNOSE S VJERSKIM ZAJEDNICAMA (48066)</v>
      </c>
      <c r="E23" s="186" t="s">
        <v>3780</v>
      </c>
      <c r="F23" s="186" t="s">
        <v>25</v>
      </c>
      <c r="G23" s="189" t="s">
        <v>3799</v>
      </c>
      <c r="H23" s="188" t="s">
        <v>3800</v>
      </c>
    </row>
    <row r="24" spans="1:8" ht="15" customHeight="1">
      <c r="A24" s="184">
        <f t="shared" si="1"/>
        <v>21</v>
      </c>
      <c r="B24" s="185">
        <v>24051</v>
      </c>
      <c r="C24" s="186" t="s">
        <v>3801</v>
      </c>
      <c r="D24" s="186" t="str">
        <f t="shared" si="0"/>
        <v>URED ZA RAVNOPRAVNOST SPOLOVA (24051)</v>
      </c>
      <c r="E24" s="186" t="s">
        <v>3780</v>
      </c>
      <c r="F24" s="186" t="s">
        <v>25</v>
      </c>
      <c r="G24" s="187">
        <v>1815342</v>
      </c>
      <c r="H24" s="188" t="s">
        <v>3802</v>
      </c>
    </row>
    <row r="25" spans="1:8" s="178" customFormat="1" ht="15" customHeight="1">
      <c r="A25" s="173">
        <f t="shared" si="1"/>
        <v>22</v>
      </c>
      <c r="B25" s="180">
        <v>20157</v>
      </c>
      <c r="C25" s="175" t="s">
        <v>3803</v>
      </c>
      <c r="D25" s="186" t="str">
        <f t="shared" si="0"/>
        <v>MINISTARSTVO FINANCIJA (20157)</v>
      </c>
      <c r="E25" s="175" t="s">
        <v>3804</v>
      </c>
      <c r="F25" s="175" t="s">
        <v>25</v>
      </c>
      <c r="G25" s="176">
        <v>3205991</v>
      </c>
      <c r="H25" s="177" t="s">
        <v>3805</v>
      </c>
    </row>
    <row r="26" spans="1:8" ht="15" customHeight="1">
      <c r="A26" s="184">
        <f>+A25+1</f>
        <v>23</v>
      </c>
      <c r="B26" s="185">
        <v>43732</v>
      </c>
      <c r="C26" s="186" t="s">
        <v>3806</v>
      </c>
      <c r="D26" s="186" t="str">
        <f t="shared" si="0"/>
        <v>AGENCIJA ZA REVIZIJU SUSTAVA PROVEDBE PROGRAMA EUROPSKE UNIJE (43732)</v>
      </c>
      <c r="E26" s="186" t="s">
        <v>3807</v>
      </c>
      <c r="F26" s="186" t="s">
        <v>25</v>
      </c>
      <c r="G26" s="187">
        <v>2400774</v>
      </c>
      <c r="H26" s="188" t="s">
        <v>3808</v>
      </c>
    </row>
    <row r="27" spans="1:8" ht="15" customHeight="1">
      <c r="A27" s="184">
        <f t="shared" si="1"/>
        <v>24</v>
      </c>
      <c r="B27" s="185">
        <v>49286</v>
      </c>
      <c r="C27" s="186" t="s">
        <v>3809</v>
      </c>
      <c r="D27" s="186" t="str">
        <f t="shared" si="0"/>
        <v>ODBOR ZA STANDARDE FINANCIJSKOG IZVJEŠTAVANJA (49286)</v>
      </c>
      <c r="E27" s="186" t="s">
        <v>3804</v>
      </c>
      <c r="F27" s="186" t="s">
        <v>25</v>
      </c>
      <c r="G27" s="189" t="s">
        <v>3810</v>
      </c>
      <c r="H27" s="188" t="s">
        <v>3811</v>
      </c>
    </row>
    <row r="28" spans="1:8" s="178" customFormat="1" ht="15" customHeight="1">
      <c r="A28" s="173">
        <f t="shared" si="1"/>
        <v>25</v>
      </c>
      <c r="B28" s="180">
        <v>40834</v>
      </c>
      <c r="C28" s="181" t="s">
        <v>3812</v>
      </c>
      <c r="D28" s="186" t="str">
        <f t="shared" si="0"/>
        <v>SIGURNOSNO OBAVJEŠTAJNA AGENCIJA (40834)</v>
      </c>
      <c r="E28" s="181" t="s">
        <v>3813</v>
      </c>
      <c r="F28" s="181" t="s">
        <v>25</v>
      </c>
      <c r="G28" s="182">
        <v>2111004</v>
      </c>
      <c r="H28" s="183" t="s">
        <v>3814</v>
      </c>
    </row>
    <row r="29" spans="1:8" s="178" customFormat="1" ht="15" customHeight="1">
      <c r="A29" s="173">
        <f t="shared" si="1"/>
        <v>26</v>
      </c>
      <c r="B29" s="180">
        <v>47334</v>
      </c>
      <c r="C29" s="181" t="s">
        <v>3815</v>
      </c>
      <c r="D29" s="186" t="str">
        <f t="shared" si="0"/>
        <v>SREDIŠNJI DRŽAVNI URED ZA SREDIŠNJU JAVNU NABAVU (47334)</v>
      </c>
      <c r="E29" s="181" t="s">
        <v>3816</v>
      </c>
      <c r="F29" s="181" t="s">
        <v>25</v>
      </c>
      <c r="G29" s="182">
        <v>2840731</v>
      </c>
      <c r="H29" s="183" t="s">
        <v>3817</v>
      </c>
    </row>
    <row r="30" spans="1:8" s="178" customFormat="1" ht="15" customHeight="1">
      <c r="A30" s="173">
        <f t="shared" si="1"/>
        <v>27</v>
      </c>
      <c r="B30" s="180">
        <v>174</v>
      </c>
      <c r="C30" s="181" t="s">
        <v>3818</v>
      </c>
      <c r="D30" s="186" t="str">
        <f t="shared" si="0"/>
        <v>MINISTARSTVO OBRANE (174)</v>
      </c>
      <c r="E30" s="181" t="s">
        <v>3819</v>
      </c>
      <c r="F30" s="181" t="s">
        <v>25</v>
      </c>
      <c r="G30" s="182">
        <v>3207595</v>
      </c>
      <c r="H30" s="183" t="s">
        <v>3820</v>
      </c>
    </row>
    <row r="31" spans="1:8" s="178" customFormat="1" ht="15" customHeight="1">
      <c r="A31" s="173">
        <f t="shared" si="1"/>
        <v>28</v>
      </c>
      <c r="B31" s="180">
        <v>47439</v>
      </c>
      <c r="C31" s="181" t="s">
        <v>3821</v>
      </c>
      <c r="D31" s="186" t="str">
        <f t="shared" si="0"/>
        <v>SREDIŠNJI DRŽAVNI URED ZA HRVATE IZVAN REPUBLIKE HRVATSKE (47439)</v>
      </c>
      <c r="E31" s="181" t="s">
        <v>3822</v>
      </c>
      <c r="F31" s="181" t="s">
        <v>25</v>
      </c>
      <c r="G31" s="182">
        <v>2875004</v>
      </c>
      <c r="H31" s="183" t="s">
        <v>3823</v>
      </c>
    </row>
    <row r="32" spans="1:8" s="178" customFormat="1" ht="15" customHeight="1">
      <c r="A32" s="184">
        <f t="shared" si="1"/>
        <v>29</v>
      </c>
      <c r="B32" s="185">
        <v>25917</v>
      </c>
      <c r="C32" s="186" t="s">
        <v>3824</v>
      </c>
      <c r="D32" s="186" t="str">
        <f t="shared" si="0"/>
        <v>HRVATSKA MATICA ISELJENIKA (25917)</v>
      </c>
      <c r="E32" s="186" t="s">
        <v>416</v>
      </c>
      <c r="F32" s="186" t="s">
        <v>25</v>
      </c>
      <c r="G32" s="187">
        <v>3277348</v>
      </c>
      <c r="H32" s="188" t="s">
        <v>3825</v>
      </c>
    </row>
    <row r="33" spans="1:8" s="178" customFormat="1" ht="15" customHeight="1">
      <c r="A33" s="173">
        <f t="shared" si="1"/>
        <v>30</v>
      </c>
      <c r="B33" s="180">
        <v>47932</v>
      </c>
      <c r="C33" s="181" t="s">
        <v>3826</v>
      </c>
      <c r="D33" s="186" t="str">
        <f t="shared" si="0"/>
        <v>SREDIŠNJI DRŽAVNI URED ZA OBNOVU I STAMBENO ZBRINJAVANJE  (47932)</v>
      </c>
      <c r="E33" s="181" t="s">
        <v>3827</v>
      </c>
      <c r="F33" s="181" t="s">
        <v>25</v>
      </c>
      <c r="G33" s="182">
        <v>4041186</v>
      </c>
      <c r="H33" s="183" t="s">
        <v>3828</v>
      </c>
    </row>
    <row r="34" spans="1:8" s="178" customFormat="1" ht="15" customHeight="1">
      <c r="A34" s="173">
        <f t="shared" si="1"/>
        <v>31</v>
      </c>
      <c r="B34" s="180">
        <v>49585</v>
      </c>
      <c r="C34" s="181" t="s">
        <v>3829</v>
      </c>
      <c r="D34" s="186" t="str">
        <f t="shared" si="0"/>
        <v>SREDIŠNJI DRŽAVNI URED ZA RAZVOJ DIGITALNOG DRUŠTVA (49585)</v>
      </c>
      <c r="E34" s="181" t="s">
        <v>3816</v>
      </c>
      <c r="F34" s="181" t="s">
        <v>25</v>
      </c>
      <c r="G34" s="190" t="s">
        <v>3830</v>
      </c>
      <c r="H34" s="183" t="s">
        <v>3831</v>
      </c>
    </row>
    <row r="35" spans="1:8" s="178" customFormat="1" ht="15" customHeight="1">
      <c r="A35" s="173">
        <f t="shared" si="1"/>
        <v>32</v>
      </c>
      <c r="B35" s="180">
        <v>51409</v>
      </c>
      <c r="C35" s="181" t="s">
        <v>3832</v>
      </c>
      <c r="D35" s="186" t="str">
        <f t="shared" si="0"/>
        <v>SREDIŠNJI DRŽAVNI URED ZA DEMOGRAFIJU I MLADE (51409)</v>
      </c>
      <c r="E35" s="181" t="s">
        <v>3833</v>
      </c>
      <c r="F35" s="181" t="s">
        <v>25</v>
      </c>
      <c r="G35" s="190">
        <v>5292441</v>
      </c>
      <c r="H35" s="183" t="s">
        <v>3834</v>
      </c>
    </row>
    <row r="36" spans="1:8" s="178" customFormat="1" ht="15" customHeight="1">
      <c r="A36" s="173">
        <f t="shared" si="1"/>
        <v>33</v>
      </c>
      <c r="B36" s="180">
        <v>50985</v>
      </c>
      <c r="C36" s="181" t="s">
        <v>3835</v>
      </c>
      <c r="D36" s="186" t="str">
        <f t="shared" si="0"/>
        <v>HRVATSKA VATROGASNA ZAJEDNICA (50985)</v>
      </c>
      <c r="E36" s="181" t="s">
        <v>3836</v>
      </c>
      <c r="F36" s="181" t="s">
        <v>25</v>
      </c>
      <c r="G36" s="182">
        <v>5205689</v>
      </c>
      <c r="H36" s="183" t="s">
        <v>3837</v>
      </c>
    </row>
    <row r="37" spans="1:8" s="178" customFormat="1" ht="15" customHeight="1">
      <c r="A37" s="184">
        <f t="shared" si="1"/>
        <v>34</v>
      </c>
      <c r="B37" s="185">
        <v>51853</v>
      </c>
      <c r="C37" s="186" t="s">
        <v>3838</v>
      </c>
      <c r="D37" s="186" t="str">
        <f t="shared" si="0"/>
        <v>DRŽAVNA VATROGASNA ŠKOLA (51853)</v>
      </c>
      <c r="E37" s="186" t="s">
        <v>3839</v>
      </c>
      <c r="F37" s="186" t="s">
        <v>25</v>
      </c>
      <c r="G37" s="187">
        <v>5379229</v>
      </c>
      <c r="H37" s="188">
        <v>68850110329</v>
      </c>
    </row>
    <row r="38" spans="1:8" s="178" customFormat="1" ht="15" customHeight="1">
      <c r="A38" s="173">
        <f t="shared" si="1"/>
        <v>35</v>
      </c>
      <c r="B38" s="180">
        <v>713</v>
      </c>
      <c r="C38" s="181" t="s">
        <v>3840</v>
      </c>
      <c r="D38" s="186" t="str">
        <f t="shared" si="0"/>
        <v>MINISTARSTVO UNUTARNJIH POSLOVA (713)</v>
      </c>
      <c r="E38" s="181" t="s">
        <v>3841</v>
      </c>
      <c r="F38" s="181" t="s">
        <v>25</v>
      </c>
      <c r="G38" s="182">
        <v>3281418</v>
      </c>
      <c r="H38" s="183" t="s">
        <v>3842</v>
      </c>
    </row>
    <row r="39" spans="1:8" s="178" customFormat="1" ht="15" customHeight="1">
      <c r="A39" s="173">
        <f t="shared" si="1"/>
        <v>36</v>
      </c>
      <c r="B39" s="180">
        <v>47037</v>
      </c>
      <c r="C39" s="181" t="s">
        <v>3843</v>
      </c>
      <c r="D39" s="186" t="str">
        <f t="shared" si="0"/>
        <v>MINISTARSTVO HRVATSKIH BRANITELJA (47037)</v>
      </c>
      <c r="E39" s="191" t="s">
        <v>3833</v>
      </c>
      <c r="F39" s="181" t="s">
        <v>25</v>
      </c>
      <c r="G39" s="182">
        <v>2829541</v>
      </c>
      <c r="H39" s="183" t="s">
        <v>3844</v>
      </c>
    </row>
    <row r="40" spans="1:8" s="178" customFormat="1" ht="15" customHeight="1">
      <c r="A40" s="184">
        <f t="shared" si="1"/>
        <v>37</v>
      </c>
      <c r="B40" s="185">
        <v>48314</v>
      </c>
      <c r="C40" s="186" t="s">
        <v>3845</v>
      </c>
      <c r="D40" s="186" t="str">
        <f t="shared" si="0"/>
        <v>JAVNA USTANOVA MEMORIJALNI CENTAR DOMOVINSKOG RATA VUKOVAR (48314)</v>
      </c>
      <c r="E40" s="186" t="s">
        <v>3846</v>
      </c>
      <c r="F40" s="186" t="s">
        <v>331</v>
      </c>
      <c r="G40" s="187">
        <v>4140966</v>
      </c>
      <c r="H40" s="188" t="s">
        <v>3847</v>
      </c>
    </row>
    <row r="41" spans="1:8" ht="15" customHeight="1">
      <c r="A41" s="184">
        <f t="shared" si="1"/>
        <v>38</v>
      </c>
      <c r="B41" s="185">
        <v>48710</v>
      </c>
      <c r="C41" s="186" t="s">
        <v>3848</v>
      </c>
      <c r="D41" s="186" t="str">
        <f t="shared" si="0"/>
        <v>DOM HRVATSKIH VETERANA (48710)</v>
      </c>
      <c r="E41" s="186" t="s">
        <v>3849</v>
      </c>
      <c r="F41" s="186" t="s">
        <v>25</v>
      </c>
      <c r="G41" s="187">
        <v>4335635</v>
      </c>
      <c r="H41" s="188" t="s">
        <v>3850</v>
      </c>
    </row>
    <row r="42" spans="1:8" ht="15" customHeight="1">
      <c r="A42" s="184">
        <f t="shared" si="1"/>
        <v>39</v>
      </c>
      <c r="B42" s="185">
        <v>52313</v>
      </c>
      <c r="C42" s="186" t="s">
        <v>3851</v>
      </c>
      <c r="D42" s="186" t="str">
        <f t="shared" si="0"/>
        <v>VETERANSKI CENTAR (52313)</v>
      </c>
      <c r="E42" s="186" t="s">
        <v>3852</v>
      </c>
      <c r="F42" s="186" t="s">
        <v>25</v>
      </c>
      <c r="G42" s="187">
        <v>5475139</v>
      </c>
      <c r="H42" s="188">
        <v>38617796847</v>
      </c>
    </row>
    <row r="43" spans="1:8" s="178" customFormat="1" ht="15" customHeight="1">
      <c r="A43" s="173">
        <f t="shared" si="1"/>
        <v>40</v>
      </c>
      <c r="B43" s="180">
        <v>721</v>
      </c>
      <c r="C43" s="181" t="s">
        <v>3853</v>
      </c>
      <c r="D43" s="186" t="str">
        <f t="shared" si="0"/>
        <v>MINISTARSTVO VANJSKIH I EUROPSKIH POSLOVA (721)</v>
      </c>
      <c r="E43" s="181" t="s">
        <v>3854</v>
      </c>
      <c r="F43" s="181" t="s">
        <v>25</v>
      </c>
      <c r="G43" s="182">
        <v>3230040</v>
      </c>
      <c r="H43" s="183" t="s">
        <v>3855</v>
      </c>
    </row>
    <row r="44" spans="1:8" s="178" customFormat="1" ht="15" customHeight="1">
      <c r="A44" s="173">
        <f t="shared" si="1"/>
        <v>41</v>
      </c>
      <c r="B44" s="180">
        <v>47852</v>
      </c>
      <c r="C44" s="181" t="s">
        <v>3856</v>
      </c>
      <c r="D44" s="186" t="str">
        <f t="shared" si="0"/>
        <v>POVJERENSTVO ZA ODLUČIVANJE O SUKOBU INTERESA (47852)</v>
      </c>
      <c r="E44" s="181" t="s">
        <v>3857</v>
      </c>
      <c r="F44" s="181" t="s">
        <v>25</v>
      </c>
      <c r="G44" s="182">
        <v>1850113</v>
      </c>
      <c r="H44" s="183" t="s">
        <v>3858</v>
      </c>
    </row>
    <row r="45" spans="1:8" s="178" customFormat="1" ht="15.75" customHeight="1">
      <c r="A45" s="173">
        <f t="shared" si="1"/>
        <v>42</v>
      </c>
      <c r="B45" s="180">
        <v>756</v>
      </c>
      <c r="C45" s="181" t="s">
        <v>3859</v>
      </c>
      <c r="D45" s="186" t="str">
        <f t="shared" si="0"/>
        <v>MINISTARSTVO KULTURE I MEDIJA (756)</v>
      </c>
      <c r="E45" s="181" t="s">
        <v>3860</v>
      </c>
      <c r="F45" s="181" t="s">
        <v>25</v>
      </c>
      <c r="G45" s="182">
        <v>931608</v>
      </c>
      <c r="H45" s="183" t="s">
        <v>3861</v>
      </c>
    </row>
    <row r="46" spans="1:8" s="178" customFormat="1" ht="15" customHeight="1">
      <c r="A46" s="184">
        <f t="shared" si="1"/>
        <v>43</v>
      </c>
      <c r="B46" s="185">
        <v>789</v>
      </c>
      <c r="C46" s="186" t="s">
        <v>3862</v>
      </c>
      <c r="D46" s="186" t="str">
        <f t="shared" si="0"/>
        <v>DRŽAVNI ARHIV U BJELOVARU (789)</v>
      </c>
      <c r="E46" s="186" t="s">
        <v>3863</v>
      </c>
      <c r="F46" s="186" t="s">
        <v>3864</v>
      </c>
      <c r="G46" s="187">
        <v>3316734</v>
      </c>
      <c r="H46" s="188" t="s">
        <v>3865</v>
      </c>
    </row>
    <row r="47" spans="1:8" s="178" customFormat="1" ht="15" customHeight="1">
      <c r="A47" s="184">
        <f t="shared" si="1"/>
        <v>44</v>
      </c>
      <c r="B47" s="185">
        <v>797</v>
      </c>
      <c r="C47" s="186" t="s">
        <v>3866</v>
      </c>
      <c r="D47" s="186" t="str">
        <f t="shared" si="0"/>
        <v>DRŽAVNI ARHIV U DUBROVNIKU (797)</v>
      </c>
      <c r="E47" s="186" t="s">
        <v>3867</v>
      </c>
      <c r="F47" s="186" t="s">
        <v>120</v>
      </c>
      <c r="G47" s="187">
        <v>3303870</v>
      </c>
      <c r="H47" s="188" t="s">
        <v>3868</v>
      </c>
    </row>
    <row r="48" spans="1:8" s="178" customFormat="1" ht="15" customHeight="1">
      <c r="A48" s="184">
        <f t="shared" si="1"/>
        <v>45</v>
      </c>
      <c r="B48" s="185">
        <v>23577</v>
      </c>
      <c r="C48" s="186" t="s">
        <v>3869</v>
      </c>
      <c r="D48" s="186" t="str">
        <f t="shared" si="0"/>
        <v>DRŽAVNI ARHIV U GOSPIĆU (23577)</v>
      </c>
      <c r="E48" s="186" t="s">
        <v>3870</v>
      </c>
      <c r="F48" s="186" t="s">
        <v>339</v>
      </c>
      <c r="G48" s="187">
        <v>1475444</v>
      </c>
      <c r="H48" s="188" t="s">
        <v>3871</v>
      </c>
    </row>
    <row r="49" spans="1:8" s="178" customFormat="1" ht="15" customHeight="1">
      <c r="A49" s="184">
        <f t="shared" si="1"/>
        <v>46</v>
      </c>
      <c r="B49" s="185">
        <v>801</v>
      </c>
      <c r="C49" s="186" t="s">
        <v>3872</v>
      </c>
      <c r="D49" s="186" t="str">
        <f t="shared" si="0"/>
        <v>DRŽAVNI ARHIV U KARLOVCU (801)</v>
      </c>
      <c r="E49" s="186" t="s">
        <v>3873</v>
      </c>
      <c r="F49" s="186" t="s">
        <v>343</v>
      </c>
      <c r="G49" s="187">
        <v>3123367</v>
      </c>
      <c r="H49" s="188" t="s">
        <v>3874</v>
      </c>
    </row>
    <row r="50" spans="1:8" s="178" customFormat="1" ht="15" customHeight="1">
      <c r="A50" s="184">
        <f t="shared" si="1"/>
        <v>47</v>
      </c>
      <c r="B50" s="185">
        <v>810</v>
      </c>
      <c r="C50" s="186" t="s">
        <v>3875</v>
      </c>
      <c r="D50" s="186" t="str">
        <f t="shared" si="0"/>
        <v>DRŽAVNI ARHIV U OSIJEKU (810)</v>
      </c>
      <c r="E50" s="186" t="s">
        <v>3876</v>
      </c>
      <c r="F50" s="186" t="s">
        <v>45</v>
      </c>
      <c r="G50" s="187">
        <v>3014223</v>
      </c>
      <c r="H50" s="188" t="s">
        <v>3877</v>
      </c>
    </row>
    <row r="51" spans="1:8" s="178" customFormat="1" ht="15" customHeight="1">
      <c r="A51" s="184">
        <f t="shared" si="1"/>
        <v>48</v>
      </c>
      <c r="B51" s="185">
        <v>828</v>
      </c>
      <c r="C51" s="186" t="s">
        <v>3878</v>
      </c>
      <c r="D51" s="186" t="str">
        <f t="shared" si="0"/>
        <v>DRŽAVNI ARHIV U PAZINU (828)</v>
      </c>
      <c r="E51" s="186" t="s">
        <v>3879</v>
      </c>
      <c r="F51" s="186" t="s">
        <v>3880</v>
      </c>
      <c r="G51" s="187">
        <v>3089240</v>
      </c>
      <c r="H51" s="188" t="s">
        <v>3881</v>
      </c>
    </row>
    <row r="52" spans="1:8" s="178" customFormat="1" ht="15" customHeight="1">
      <c r="A52" s="184">
        <f t="shared" si="1"/>
        <v>49</v>
      </c>
      <c r="B52" s="185">
        <v>836</v>
      </c>
      <c r="C52" s="186" t="s">
        <v>3882</v>
      </c>
      <c r="D52" s="186" t="str">
        <f t="shared" si="0"/>
        <v>DRŽAVNI ARHIV U RIJECI (836)</v>
      </c>
      <c r="E52" s="186" t="s">
        <v>3883</v>
      </c>
      <c r="F52" s="186" t="s">
        <v>126</v>
      </c>
      <c r="G52" s="187">
        <v>3321088</v>
      </c>
      <c r="H52" s="188" t="s">
        <v>3884</v>
      </c>
    </row>
    <row r="53" spans="1:8" s="178" customFormat="1" ht="15" customHeight="1">
      <c r="A53" s="184">
        <f t="shared" si="1"/>
        <v>50</v>
      </c>
      <c r="B53" s="185">
        <v>844</v>
      </c>
      <c r="C53" s="186" t="s">
        <v>3885</v>
      </c>
      <c r="D53" s="186" t="str">
        <f t="shared" si="0"/>
        <v>DRŽAVNI ARHIV U SISKU (844)</v>
      </c>
      <c r="E53" s="186" t="s">
        <v>3886</v>
      </c>
      <c r="F53" s="186" t="s">
        <v>293</v>
      </c>
      <c r="G53" s="187">
        <v>3313824</v>
      </c>
      <c r="H53" s="188" t="s">
        <v>3887</v>
      </c>
    </row>
    <row r="54" spans="1:8" s="178" customFormat="1" ht="15" customHeight="1">
      <c r="A54" s="184">
        <f t="shared" si="1"/>
        <v>51</v>
      </c>
      <c r="B54" s="185">
        <v>852</v>
      </c>
      <c r="C54" s="186" t="s">
        <v>3888</v>
      </c>
      <c r="D54" s="186" t="str">
        <f t="shared" si="0"/>
        <v>DRŽAVNI ARHIV U SLAVONSKOM BRODU (852)</v>
      </c>
      <c r="E54" s="186" t="s">
        <v>3889</v>
      </c>
      <c r="F54" s="186" t="s">
        <v>172</v>
      </c>
      <c r="G54" s="187">
        <v>3071162</v>
      </c>
      <c r="H54" s="188" t="s">
        <v>3890</v>
      </c>
    </row>
    <row r="55" spans="1:8" s="178" customFormat="1" ht="15" customHeight="1">
      <c r="A55" s="184">
        <f t="shared" si="1"/>
        <v>52</v>
      </c>
      <c r="B55" s="185">
        <v>869</v>
      </c>
      <c r="C55" s="186" t="s">
        <v>3891</v>
      </c>
      <c r="D55" s="186" t="str">
        <f t="shared" si="0"/>
        <v>DRŽAVNI ARHIV U SPLITU (869)</v>
      </c>
      <c r="E55" s="186" t="s">
        <v>3892</v>
      </c>
      <c r="F55" s="186" t="s">
        <v>176</v>
      </c>
      <c r="G55" s="187">
        <v>3118452</v>
      </c>
      <c r="H55" s="188" t="s">
        <v>3893</v>
      </c>
    </row>
    <row r="56" spans="1:8" s="178" customFormat="1" ht="15" customHeight="1">
      <c r="A56" s="184">
        <f t="shared" si="1"/>
        <v>53</v>
      </c>
      <c r="B56" s="185">
        <v>43915</v>
      </c>
      <c r="C56" s="186" t="s">
        <v>3894</v>
      </c>
      <c r="D56" s="186" t="str">
        <f t="shared" si="0"/>
        <v>DRŽAVNI ARHIV U ŠIBENIKU (43915)</v>
      </c>
      <c r="E56" s="186" t="s">
        <v>3895</v>
      </c>
      <c r="F56" s="186" t="s">
        <v>350</v>
      </c>
      <c r="G56" s="187">
        <v>2435411</v>
      </c>
      <c r="H56" s="188" t="s">
        <v>3896</v>
      </c>
    </row>
    <row r="57" spans="1:8" s="178" customFormat="1" ht="15" customHeight="1">
      <c r="A57" s="184">
        <f t="shared" si="1"/>
        <v>54</v>
      </c>
      <c r="B57" s="185">
        <v>877</v>
      </c>
      <c r="C57" s="186" t="s">
        <v>3897</v>
      </c>
      <c r="D57" s="186" t="str">
        <f t="shared" si="0"/>
        <v>DRŽAVNI ARHIV U VARAŽDINU (877)</v>
      </c>
      <c r="E57" s="186" t="s">
        <v>3898</v>
      </c>
      <c r="F57" s="186" t="s">
        <v>32</v>
      </c>
      <c r="G57" s="187">
        <v>3006166</v>
      </c>
      <c r="H57" s="188" t="s">
        <v>3899</v>
      </c>
    </row>
    <row r="58" spans="1:8" s="178" customFormat="1" ht="15" customHeight="1">
      <c r="A58" s="184">
        <f t="shared" si="1"/>
        <v>55</v>
      </c>
      <c r="B58" s="185">
        <v>44493</v>
      </c>
      <c r="C58" s="186" t="s">
        <v>3900</v>
      </c>
      <c r="D58" s="186" t="str">
        <f t="shared" si="0"/>
        <v>DRŽAVNI ARHIV U VIROVITICI  (44493)</v>
      </c>
      <c r="E58" s="186" t="s">
        <v>3901</v>
      </c>
      <c r="F58" s="186" t="s">
        <v>354</v>
      </c>
      <c r="G58" s="187">
        <v>2494841</v>
      </c>
      <c r="H58" s="188" t="s">
        <v>3902</v>
      </c>
    </row>
    <row r="59" spans="1:8" s="178" customFormat="1" ht="15" customHeight="1">
      <c r="A59" s="184">
        <f t="shared" si="1"/>
        <v>56</v>
      </c>
      <c r="B59" s="185">
        <v>43636</v>
      </c>
      <c r="C59" s="186" t="s">
        <v>3903</v>
      </c>
      <c r="D59" s="186" t="str">
        <f t="shared" si="0"/>
        <v>DRŽAVNI ARHIV U VUKOVARU  (43636)</v>
      </c>
      <c r="E59" s="186" t="s">
        <v>3904</v>
      </c>
      <c r="F59" s="186" t="s">
        <v>331</v>
      </c>
      <c r="G59" s="187">
        <v>2334712</v>
      </c>
      <c r="H59" s="188" t="s">
        <v>3905</v>
      </c>
    </row>
    <row r="60" spans="1:8" s="178" customFormat="1" ht="15" customHeight="1">
      <c r="A60" s="184">
        <f t="shared" si="1"/>
        <v>57</v>
      </c>
      <c r="B60" s="185">
        <v>885</v>
      </c>
      <c r="C60" s="186" t="s">
        <v>3906</v>
      </c>
      <c r="D60" s="186" t="str">
        <f t="shared" si="0"/>
        <v>DRŽAVNI ARHIV U ZADRU (885)</v>
      </c>
      <c r="E60" s="186" t="s">
        <v>3907</v>
      </c>
      <c r="F60" s="186" t="s">
        <v>218</v>
      </c>
      <c r="G60" s="187">
        <v>3142019</v>
      </c>
      <c r="H60" s="188" t="s">
        <v>3908</v>
      </c>
    </row>
    <row r="61" spans="1:8" s="178" customFormat="1" ht="15" customHeight="1">
      <c r="A61" s="184">
        <f t="shared" si="1"/>
        <v>58</v>
      </c>
      <c r="B61" s="185">
        <v>893</v>
      </c>
      <c r="C61" s="186" t="s">
        <v>3909</v>
      </c>
      <c r="D61" s="186" t="str">
        <f t="shared" si="0"/>
        <v>DRŽAVNI ARHIV U ZAGREBU (893)</v>
      </c>
      <c r="E61" s="186" t="s">
        <v>3910</v>
      </c>
      <c r="F61" s="186" t="s">
        <v>25</v>
      </c>
      <c r="G61" s="187">
        <v>3224953</v>
      </c>
      <c r="H61" s="188" t="s">
        <v>3911</v>
      </c>
    </row>
    <row r="62" spans="1:8" s="178" customFormat="1" ht="15" customHeight="1">
      <c r="A62" s="184">
        <f t="shared" si="1"/>
        <v>59</v>
      </c>
      <c r="B62" s="185">
        <v>43644</v>
      </c>
      <c r="C62" s="186" t="s">
        <v>3912</v>
      </c>
      <c r="D62" s="186" t="str">
        <f t="shared" si="0"/>
        <v>DRŽAVNI ARHIV ZA MEĐIMURJE  (43644)</v>
      </c>
      <c r="E62" s="186" t="s">
        <v>3913</v>
      </c>
      <c r="F62" s="186" t="s">
        <v>3914</v>
      </c>
      <c r="G62" s="187">
        <v>2326086</v>
      </c>
      <c r="H62" s="188" t="s">
        <v>3915</v>
      </c>
    </row>
    <row r="63" spans="1:8" s="178" customFormat="1" ht="15" customHeight="1">
      <c r="A63" s="184">
        <f t="shared" si="1"/>
        <v>60</v>
      </c>
      <c r="B63" s="185">
        <v>764</v>
      </c>
      <c r="C63" s="186" t="s">
        <v>3916</v>
      </c>
      <c r="D63" s="186" t="str">
        <f t="shared" si="0"/>
        <v>HRVATSKI DRŽAVNI ARHIV (764)</v>
      </c>
      <c r="E63" s="186" t="s">
        <v>3917</v>
      </c>
      <c r="F63" s="186" t="s">
        <v>25</v>
      </c>
      <c r="G63" s="187">
        <v>3205380</v>
      </c>
      <c r="H63" s="188" t="s">
        <v>3918</v>
      </c>
    </row>
    <row r="64" spans="1:8" s="178" customFormat="1" ht="15" customHeight="1">
      <c r="A64" s="184">
        <f t="shared" si="1"/>
        <v>61</v>
      </c>
      <c r="B64" s="185">
        <v>40623</v>
      </c>
      <c r="C64" s="186" t="s">
        <v>3919</v>
      </c>
      <c r="D64" s="186" t="str">
        <f t="shared" si="0"/>
        <v>HRVATSKI MEMORIJALNO-DOKUMENTACIJSKI CENTAR DOMOVINSKOGA RATA (40623)</v>
      </c>
      <c r="E64" s="186" t="s">
        <v>3920</v>
      </c>
      <c r="F64" s="186" t="s">
        <v>25</v>
      </c>
      <c r="G64" s="187">
        <v>1909592</v>
      </c>
      <c r="H64" s="188" t="s">
        <v>3921</v>
      </c>
    </row>
    <row r="65" spans="1:8" s="178" customFormat="1" ht="15" customHeight="1">
      <c r="A65" s="184">
        <f t="shared" si="1"/>
        <v>62</v>
      </c>
      <c r="B65" s="185">
        <v>924</v>
      </c>
      <c r="C65" s="186" t="s">
        <v>3922</v>
      </c>
      <c r="D65" s="186" t="str">
        <f t="shared" si="0"/>
        <v>ARHEOLOŠKI MUZEJ ISTRE (924)</v>
      </c>
      <c r="E65" s="186" t="s">
        <v>3923</v>
      </c>
      <c r="F65" s="186" t="s">
        <v>110</v>
      </c>
      <c r="G65" s="187">
        <v>3203727</v>
      </c>
      <c r="H65" s="188" t="s">
        <v>3924</v>
      </c>
    </row>
    <row r="66" spans="1:8" s="178" customFormat="1" ht="15" customHeight="1">
      <c r="A66" s="184">
        <f t="shared" si="1"/>
        <v>63</v>
      </c>
      <c r="B66" s="185">
        <v>40631</v>
      </c>
      <c r="C66" s="186" t="s">
        <v>3925</v>
      </c>
      <c r="D66" s="186" t="str">
        <f t="shared" si="0"/>
        <v>ARHEOLOŠKI MUZEJ NARONA (40631)</v>
      </c>
      <c r="E66" s="186" t="s">
        <v>3926</v>
      </c>
      <c r="F66" s="186" t="s">
        <v>3927</v>
      </c>
      <c r="G66" s="187">
        <v>2071061</v>
      </c>
      <c r="H66" s="188" t="s">
        <v>3928</v>
      </c>
    </row>
    <row r="67" spans="1:8" s="178" customFormat="1" ht="15" customHeight="1">
      <c r="A67" s="184">
        <f t="shared" si="1"/>
        <v>64</v>
      </c>
      <c r="B67" s="185">
        <v>50090</v>
      </c>
      <c r="C67" s="186" t="s">
        <v>3929</v>
      </c>
      <c r="D67" s="186" t="str">
        <f t="shared" si="0"/>
        <v>ARHEOLOŠKI MUZEJ OSIJEK (50090)</v>
      </c>
      <c r="E67" s="186" t="s">
        <v>3930</v>
      </c>
      <c r="F67" s="186" t="s">
        <v>45</v>
      </c>
      <c r="G67" s="187">
        <v>4857283</v>
      </c>
      <c r="H67" s="188" t="s">
        <v>3931</v>
      </c>
    </row>
    <row r="68" spans="1:8" s="178" customFormat="1" ht="15" customHeight="1">
      <c r="A68" s="184">
        <f t="shared" si="1"/>
        <v>65</v>
      </c>
      <c r="B68" s="185">
        <v>908</v>
      </c>
      <c r="C68" s="186" t="s">
        <v>3932</v>
      </c>
      <c r="D68" s="186" t="str">
        <f t="shared" ref="D68:D131" si="2">C68&amp;" ("&amp;B68&amp;")"</f>
        <v>ARHEOLOŠKI MUZEJ U SPLITU (908)</v>
      </c>
      <c r="E68" s="186" t="s">
        <v>3933</v>
      </c>
      <c r="F68" s="186" t="s">
        <v>176</v>
      </c>
      <c r="G68" s="187">
        <v>3118380</v>
      </c>
      <c r="H68" s="188" t="s">
        <v>3934</v>
      </c>
    </row>
    <row r="69" spans="1:8" s="178" customFormat="1" ht="15" customHeight="1">
      <c r="A69" s="184">
        <f t="shared" si="1"/>
        <v>66</v>
      </c>
      <c r="B69" s="185">
        <v>916</v>
      </c>
      <c r="C69" s="186" t="s">
        <v>3935</v>
      </c>
      <c r="D69" s="186" t="str">
        <f t="shared" si="2"/>
        <v>ARHEOLOŠKI MUZEJ ZADAR (916)</v>
      </c>
      <c r="E69" s="186" t="s">
        <v>3936</v>
      </c>
      <c r="F69" s="186" t="s">
        <v>3937</v>
      </c>
      <c r="G69" s="187">
        <v>3132170</v>
      </c>
      <c r="H69" s="188" t="s">
        <v>3938</v>
      </c>
    </row>
    <row r="70" spans="1:8" s="178" customFormat="1" ht="15" customHeight="1">
      <c r="A70" s="184">
        <f t="shared" ref="A70:A121" si="3">+A69+1</f>
        <v>67</v>
      </c>
      <c r="B70" s="185">
        <v>932</v>
      </c>
      <c r="C70" s="186" t="s">
        <v>3939</v>
      </c>
      <c r="D70" s="186" t="str">
        <f t="shared" si="2"/>
        <v>DVOR TRAKOŠČAN (932)</v>
      </c>
      <c r="E70" s="186" t="s">
        <v>3940</v>
      </c>
      <c r="F70" s="186" t="s">
        <v>3941</v>
      </c>
      <c r="G70" s="187">
        <v>3125483</v>
      </c>
      <c r="H70" s="188" t="s">
        <v>3942</v>
      </c>
    </row>
    <row r="71" spans="1:8" s="178" customFormat="1" ht="15" customHeight="1">
      <c r="A71" s="184">
        <f t="shared" si="3"/>
        <v>68</v>
      </c>
      <c r="B71" s="185">
        <v>22242</v>
      </c>
      <c r="C71" s="192" t="s">
        <v>3943</v>
      </c>
      <c r="D71" s="186" t="str">
        <f t="shared" si="2"/>
        <v>GALERIJA KLOVIĆEVI DVORI (22242)</v>
      </c>
      <c r="E71" s="192" t="s">
        <v>3944</v>
      </c>
      <c r="F71" s="192" t="s">
        <v>25</v>
      </c>
      <c r="G71" s="193">
        <v>1426672</v>
      </c>
      <c r="H71" s="188" t="s">
        <v>3945</v>
      </c>
    </row>
    <row r="72" spans="1:8" s="178" customFormat="1" ht="15" customHeight="1">
      <c r="A72" s="184">
        <f t="shared" si="3"/>
        <v>69</v>
      </c>
      <c r="B72" s="185">
        <v>6146</v>
      </c>
      <c r="C72" s="186" t="s">
        <v>3946</v>
      </c>
      <c r="D72" s="186" t="str">
        <f t="shared" si="2"/>
        <v>HRVATSKI MUZEJ NAIVNE UMJETNOSTI (6146)</v>
      </c>
      <c r="E72" s="186" t="s">
        <v>3947</v>
      </c>
      <c r="F72" s="186" t="s">
        <v>25</v>
      </c>
      <c r="G72" s="187">
        <v>738751</v>
      </c>
      <c r="H72" s="188" t="s">
        <v>3948</v>
      </c>
    </row>
    <row r="73" spans="1:8" s="178" customFormat="1" ht="15" customHeight="1">
      <c r="A73" s="184">
        <f t="shared" si="3"/>
        <v>70</v>
      </c>
      <c r="B73" s="185">
        <v>43907</v>
      </c>
      <c r="C73" s="186" t="s">
        <v>3949</v>
      </c>
      <c r="D73" s="186" t="str">
        <f t="shared" si="2"/>
        <v>HRVATSKI MUZEJ TURIZMA (43907)</v>
      </c>
      <c r="E73" s="186" t="s">
        <v>3950</v>
      </c>
      <c r="F73" s="186" t="s">
        <v>139</v>
      </c>
      <c r="G73" s="187">
        <v>2298651</v>
      </c>
      <c r="H73" s="188" t="s">
        <v>3951</v>
      </c>
    </row>
    <row r="74" spans="1:8" s="178" customFormat="1" ht="15" customHeight="1">
      <c r="A74" s="184">
        <f t="shared" si="3"/>
        <v>71</v>
      </c>
      <c r="B74" s="185">
        <v>965</v>
      </c>
      <c r="C74" s="186" t="s">
        <v>3952</v>
      </c>
      <c r="D74" s="186" t="str">
        <f t="shared" si="2"/>
        <v>HRVATSKI POVIJESNI MUZEJ (965)</v>
      </c>
      <c r="E74" s="186" t="s">
        <v>3953</v>
      </c>
      <c r="F74" s="186" t="s">
        <v>25</v>
      </c>
      <c r="G74" s="187">
        <v>3212084</v>
      </c>
      <c r="H74" s="188" t="s">
        <v>3954</v>
      </c>
    </row>
    <row r="75" spans="1:8" s="178" customFormat="1" ht="15" customHeight="1">
      <c r="A75" s="184">
        <f t="shared" si="3"/>
        <v>72</v>
      </c>
      <c r="B75" s="185">
        <v>40682</v>
      </c>
      <c r="C75" s="186" t="s">
        <v>3955</v>
      </c>
      <c r="D75" s="186" t="str">
        <f t="shared" si="2"/>
        <v>HRVATSKI ŠPORTSKI MUZEJ (40682)</v>
      </c>
      <c r="E75" s="194" t="s">
        <v>3956</v>
      </c>
      <c r="F75" s="186" t="s">
        <v>25</v>
      </c>
      <c r="G75" s="193">
        <v>1783815</v>
      </c>
      <c r="H75" s="188" t="s">
        <v>3957</v>
      </c>
    </row>
    <row r="76" spans="1:8" s="178" customFormat="1" ht="15" customHeight="1">
      <c r="A76" s="184">
        <f t="shared" si="3"/>
        <v>73</v>
      </c>
      <c r="B76" s="185">
        <v>23593</v>
      </c>
      <c r="C76" s="186" t="s">
        <v>3958</v>
      </c>
      <c r="D76" s="186" t="str">
        <f t="shared" si="2"/>
        <v>J. U. SPOMEN PODRUČJE JASENOVAC (23593)</v>
      </c>
      <c r="E76" s="186" t="s">
        <v>3959</v>
      </c>
      <c r="F76" s="186" t="s">
        <v>3960</v>
      </c>
      <c r="G76" s="187">
        <v>3201678</v>
      </c>
      <c r="H76" s="188" t="s">
        <v>3961</v>
      </c>
    </row>
    <row r="77" spans="1:8" s="178" customFormat="1" ht="15" customHeight="1">
      <c r="A77" s="184">
        <f t="shared" si="3"/>
        <v>74</v>
      </c>
      <c r="B77" s="185">
        <v>22347</v>
      </c>
      <c r="C77" s="186" t="s">
        <v>3962</v>
      </c>
      <c r="D77" s="186" t="str">
        <f t="shared" si="2"/>
        <v>J. U. ZBIRKA UMJETNINA ANTE I WILTRUDE TOPIĆ MIMARA  (22347)</v>
      </c>
      <c r="E77" s="186" t="s">
        <v>3963</v>
      </c>
      <c r="F77" s="186" t="s">
        <v>25</v>
      </c>
      <c r="G77" s="187">
        <v>1425684</v>
      </c>
      <c r="H77" s="188" t="s">
        <v>3964</v>
      </c>
    </row>
    <row r="78" spans="1:8" s="178" customFormat="1" ht="15" customHeight="1">
      <c r="A78" s="184">
        <f t="shared" si="3"/>
        <v>75</v>
      </c>
      <c r="B78" s="185">
        <v>973</v>
      </c>
      <c r="C78" s="186" t="s">
        <v>3965</v>
      </c>
      <c r="D78" s="186" t="str">
        <f t="shared" si="2"/>
        <v>MODERNA GALERIJA (973)</v>
      </c>
      <c r="E78" s="186" t="s">
        <v>3966</v>
      </c>
      <c r="F78" s="186" t="s">
        <v>25</v>
      </c>
      <c r="G78" s="187">
        <v>3205240</v>
      </c>
      <c r="H78" s="188" t="s">
        <v>3967</v>
      </c>
    </row>
    <row r="79" spans="1:8" s="178" customFormat="1" ht="15" customHeight="1">
      <c r="A79" s="184">
        <f t="shared" si="3"/>
        <v>76</v>
      </c>
      <c r="B79" s="185">
        <v>42112</v>
      </c>
      <c r="C79" s="186" t="s">
        <v>3968</v>
      </c>
      <c r="D79" s="186" t="str">
        <f t="shared" si="2"/>
        <v>MUZEJ ANTIČKOG STAKLA ZADAR (42112)</v>
      </c>
      <c r="E79" s="186" t="s">
        <v>3969</v>
      </c>
      <c r="F79" s="186" t="s">
        <v>218</v>
      </c>
      <c r="G79" s="187">
        <v>2106698</v>
      </c>
      <c r="H79" s="188" t="s">
        <v>3970</v>
      </c>
    </row>
    <row r="80" spans="1:8" s="178" customFormat="1" ht="15" customHeight="1">
      <c r="A80" s="184">
        <f t="shared" si="3"/>
        <v>77</v>
      </c>
      <c r="B80" s="185">
        <v>990</v>
      </c>
      <c r="C80" s="186" t="s">
        <v>3971</v>
      </c>
      <c r="D80" s="186" t="str">
        <f t="shared" si="2"/>
        <v>MUZEJ HRVATSKIH ARHEOLOŠKIH SPOMENIKA SPLIT (990)</v>
      </c>
      <c r="E80" s="186" t="s">
        <v>3972</v>
      </c>
      <c r="F80" s="186" t="s">
        <v>176</v>
      </c>
      <c r="G80" s="187">
        <v>3119904</v>
      </c>
      <c r="H80" s="188" t="s">
        <v>3973</v>
      </c>
    </row>
    <row r="81" spans="1:8" s="178" customFormat="1" ht="15" customHeight="1">
      <c r="A81" s="184">
        <f t="shared" si="3"/>
        <v>78</v>
      </c>
      <c r="B81" s="185">
        <v>1011</v>
      </c>
      <c r="C81" s="186" t="s">
        <v>3974</v>
      </c>
      <c r="D81" s="186" t="str">
        <f t="shared" si="2"/>
        <v>MUZEJ HRVATSKOG ZAGORJA (1011)</v>
      </c>
      <c r="E81" s="186" t="s">
        <v>3975</v>
      </c>
      <c r="F81" s="186" t="s">
        <v>3976</v>
      </c>
      <c r="G81" s="187">
        <v>207349</v>
      </c>
      <c r="H81" s="188" t="s">
        <v>3977</v>
      </c>
    </row>
    <row r="82" spans="1:8" s="178" customFormat="1" ht="15" customHeight="1">
      <c r="A82" s="184">
        <f t="shared" si="3"/>
        <v>79</v>
      </c>
      <c r="B82" s="185">
        <v>1003</v>
      </c>
      <c r="C82" s="186" t="s">
        <v>3978</v>
      </c>
      <c r="D82" s="186" t="str">
        <f t="shared" si="2"/>
        <v>MUZEJ SLAVONIJE OSIJEK (1003)</v>
      </c>
      <c r="E82" s="186" t="s">
        <v>3979</v>
      </c>
      <c r="F82" s="186" t="s">
        <v>45</v>
      </c>
      <c r="G82" s="187">
        <v>3014207</v>
      </c>
      <c r="H82" s="188" t="s">
        <v>3980</v>
      </c>
    </row>
    <row r="83" spans="1:8" s="178" customFormat="1" ht="15" customHeight="1">
      <c r="A83" s="184">
        <f t="shared" si="3"/>
        <v>80</v>
      </c>
      <c r="B83" s="185">
        <v>47908</v>
      </c>
      <c r="C83" s="186" t="s">
        <v>3981</v>
      </c>
      <c r="D83" s="186" t="str">
        <f t="shared" si="2"/>
        <v>MUZEJ VUČEDOLSKE KULTURE (47908)</v>
      </c>
      <c r="E83" s="186" t="s">
        <v>3982</v>
      </c>
      <c r="F83" s="186" t="s">
        <v>331</v>
      </c>
      <c r="G83" s="187">
        <v>4016408</v>
      </c>
      <c r="H83" s="188" t="s">
        <v>3983</v>
      </c>
    </row>
    <row r="84" spans="1:8" s="178" customFormat="1" ht="15" customHeight="1">
      <c r="A84" s="184">
        <f t="shared" si="3"/>
        <v>81</v>
      </c>
      <c r="B84" s="185">
        <v>949</v>
      </c>
      <c r="C84" s="186" t="s">
        <v>3984</v>
      </c>
      <c r="D84" s="186" t="str">
        <f t="shared" si="2"/>
        <v>MUZEJI IVANA MEŠTROVIĆA  (949)</v>
      </c>
      <c r="E84" s="186" t="s">
        <v>3985</v>
      </c>
      <c r="F84" s="186" t="s">
        <v>176</v>
      </c>
      <c r="G84" s="187">
        <v>3751783</v>
      </c>
      <c r="H84" s="188" t="s">
        <v>3986</v>
      </c>
    </row>
    <row r="85" spans="1:8" s="178" customFormat="1" ht="15" customHeight="1">
      <c r="A85" s="184">
        <f t="shared" si="3"/>
        <v>82</v>
      </c>
      <c r="B85" s="185">
        <v>1020</v>
      </c>
      <c r="C85" s="186" t="s">
        <v>3987</v>
      </c>
      <c r="D85" s="186" t="str">
        <f t="shared" si="2"/>
        <v>MUZEJSKI DOKUMENTACIJSKI CENTAR (1020)</v>
      </c>
      <c r="E85" s="186" t="s">
        <v>3988</v>
      </c>
      <c r="F85" s="186" t="s">
        <v>25</v>
      </c>
      <c r="G85" s="187">
        <v>3205258</v>
      </c>
      <c r="H85" s="188" t="s">
        <v>3989</v>
      </c>
    </row>
    <row r="86" spans="1:8" s="178" customFormat="1" ht="15" customHeight="1">
      <c r="A86" s="184">
        <f t="shared" si="3"/>
        <v>83</v>
      </c>
      <c r="B86" s="185">
        <v>1038</v>
      </c>
      <c r="C86" s="186" t="s">
        <v>3990</v>
      </c>
      <c r="D86" s="186" t="str">
        <f t="shared" si="2"/>
        <v>TIFLOLOŠKI MUZEJ (1038)</v>
      </c>
      <c r="E86" s="186" t="s">
        <v>3991</v>
      </c>
      <c r="F86" s="186" t="s">
        <v>25</v>
      </c>
      <c r="G86" s="187">
        <v>3270564</v>
      </c>
      <c r="H86" s="188" t="s">
        <v>3992</v>
      </c>
    </row>
    <row r="87" spans="1:8" ht="15" customHeight="1">
      <c r="A87" s="184">
        <f t="shared" si="3"/>
        <v>84</v>
      </c>
      <c r="B87" s="185">
        <v>49075</v>
      </c>
      <c r="C87" s="186" t="s">
        <v>3993</v>
      </c>
      <c r="D87" s="186" t="str">
        <f t="shared" si="2"/>
        <v>AGENCIJA ZA ELEKTRONIČKE MEDIJE (49075)</v>
      </c>
      <c r="E87" s="186" t="s">
        <v>3994</v>
      </c>
      <c r="F87" s="186" t="s">
        <v>25</v>
      </c>
      <c r="G87" s="189" t="s">
        <v>3995</v>
      </c>
      <c r="H87" s="188" t="s">
        <v>3996</v>
      </c>
    </row>
    <row r="88" spans="1:8" ht="15" customHeight="1">
      <c r="A88" s="184">
        <f t="shared" si="3"/>
        <v>85</v>
      </c>
      <c r="B88" s="185">
        <v>1046</v>
      </c>
      <c r="C88" s="186" t="s">
        <v>3997</v>
      </c>
      <c r="D88" s="186" t="str">
        <f t="shared" si="2"/>
        <v>ANSAMBL LADO (1046)</v>
      </c>
      <c r="E88" s="186" t="s">
        <v>3998</v>
      </c>
      <c r="F88" s="186" t="s">
        <v>25</v>
      </c>
      <c r="G88" s="187">
        <v>3213862</v>
      </c>
      <c r="H88" s="188" t="s">
        <v>3999</v>
      </c>
    </row>
    <row r="89" spans="1:8" ht="15" customHeight="1">
      <c r="A89" s="184">
        <f t="shared" si="3"/>
        <v>86</v>
      </c>
      <c r="B89" s="185">
        <v>23585</v>
      </c>
      <c r="C89" s="186" t="s">
        <v>4000</v>
      </c>
      <c r="D89" s="186" t="str">
        <f t="shared" si="2"/>
        <v>HRVATSKA KNJIŽNICA ZA SLIJEPE (23585)</v>
      </c>
      <c r="E89" s="186" t="s">
        <v>4001</v>
      </c>
      <c r="F89" s="186" t="s">
        <v>25</v>
      </c>
      <c r="G89" s="187">
        <v>1494449</v>
      </c>
      <c r="H89" s="188" t="s">
        <v>4002</v>
      </c>
    </row>
    <row r="90" spans="1:8" ht="15" customHeight="1">
      <c r="A90" s="184">
        <f t="shared" si="3"/>
        <v>87</v>
      </c>
      <c r="B90" s="185">
        <v>44926</v>
      </c>
      <c r="C90" s="186" t="s">
        <v>4003</v>
      </c>
      <c r="D90" s="186" t="str">
        <f t="shared" si="2"/>
        <v>HRVATSKI AUDIOVIZUALNI CENTAR (44926)</v>
      </c>
      <c r="E90" s="186" t="s">
        <v>4004</v>
      </c>
      <c r="F90" s="186" t="s">
        <v>25</v>
      </c>
      <c r="G90" s="187">
        <v>2275341</v>
      </c>
      <c r="H90" s="188" t="s">
        <v>4005</v>
      </c>
    </row>
    <row r="91" spans="1:8" ht="15" customHeight="1">
      <c r="A91" s="184">
        <f t="shared" si="3"/>
        <v>88</v>
      </c>
      <c r="B91" s="185">
        <v>22339</v>
      </c>
      <c r="C91" s="186" t="s">
        <v>4006</v>
      </c>
      <c r="D91" s="186" t="str">
        <f t="shared" si="2"/>
        <v>HRVATSKI RESTAURATORSKI ZAVOD (22339)</v>
      </c>
      <c r="E91" s="186" t="s">
        <v>4007</v>
      </c>
      <c r="F91" s="186" t="s">
        <v>25</v>
      </c>
      <c r="G91" s="187">
        <v>1250795</v>
      </c>
      <c r="H91" s="188" t="s">
        <v>4008</v>
      </c>
    </row>
    <row r="92" spans="1:8" ht="15" customHeight="1">
      <c r="A92" s="184">
        <f t="shared" si="3"/>
        <v>89</v>
      </c>
      <c r="B92" s="185">
        <v>25878</v>
      </c>
      <c r="C92" s="186" t="s">
        <v>4009</v>
      </c>
      <c r="D92" s="186" t="str">
        <f t="shared" si="2"/>
        <v>HRVATSKO NARODNO KAZALIŠTE (25878)</v>
      </c>
      <c r="E92" s="186" t="s">
        <v>4010</v>
      </c>
      <c r="F92" s="186" t="s">
        <v>25</v>
      </c>
      <c r="G92" s="187">
        <v>3205479</v>
      </c>
      <c r="H92" s="188" t="s">
        <v>4011</v>
      </c>
    </row>
    <row r="93" spans="1:8" ht="15" customHeight="1">
      <c r="A93" s="184">
        <f t="shared" si="3"/>
        <v>90</v>
      </c>
      <c r="B93" s="185">
        <v>45189</v>
      </c>
      <c r="C93" s="186" t="s">
        <v>4012</v>
      </c>
      <c r="D93" s="186" t="str">
        <f t="shared" si="2"/>
        <v>MEĐUNARODNI CENTAR ZA PODVODNU ARHEOLOGIJU (45189)</v>
      </c>
      <c r="E93" s="186" t="s">
        <v>4013</v>
      </c>
      <c r="F93" s="186" t="s">
        <v>218</v>
      </c>
      <c r="G93" s="187">
        <v>2479184</v>
      </c>
      <c r="H93" s="188" t="s">
        <v>4014</v>
      </c>
    </row>
    <row r="94" spans="1:8" s="178" customFormat="1" ht="15" customHeight="1">
      <c r="A94" s="173">
        <f t="shared" si="3"/>
        <v>91</v>
      </c>
      <c r="B94" s="180">
        <v>1079</v>
      </c>
      <c r="C94" s="181" t="s">
        <v>4015</v>
      </c>
      <c r="D94" s="186" t="str">
        <f t="shared" si="2"/>
        <v>MINISTARSTVO POLJOPRIVREDE (1079)</v>
      </c>
      <c r="E94" s="181" t="s">
        <v>441</v>
      </c>
      <c r="F94" s="181" t="s">
        <v>25</v>
      </c>
      <c r="G94" s="182">
        <v>3271005</v>
      </c>
      <c r="H94" s="183" t="s">
        <v>4016</v>
      </c>
    </row>
    <row r="95" spans="1:8" ht="15" customHeight="1">
      <c r="A95" s="184">
        <f t="shared" si="3"/>
        <v>92</v>
      </c>
      <c r="B95" s="185">
        <v>45927</v>
      </c>
      <c r="C95" s="186" t="s">
        <v>4017</v>
      </c>
      <c r="D95" s="186" t="str">
        <f t="shared" si="2"/>
        <v>AGENCIJA ZA PLAĆANJA U POLJOPRIVREDI, RIBARSTVU I RURALNOM RAZVOJU (45927)</v>
      </c>
      <c r="E95" s="186" t="s">
        <v>4018</v>
      </c>
      <c r="F95" s="195" t="s">
        <v>25</v>
      </c>
      <c r="G95" s="187">
        <v>2593262</v>
      </c>
      <c r="H95" s="188" t="s">
        <v>4019</v>
      </c>
    </row>
    <row r="96" spans="1:8" ht="15" customHeight="1">
      <c r="A96" s="184">
        <f t="shared" si="3"/>
        <v>93</v>
      </c>
      <c r="B96" s="185">
        <v>44565</v>
      </c>
      <c r="C96" s="186" t="s">
        <v>4020</v>
      </c>
      <c r="D96" s="186" t="str">
        <f t="shared" si="2"/>
        <v>HRVATSKA AGENCIJA ZA POLJOPRIVREDU I HRANU (44565)</v>
      </c>
      <c r="E96" s="195" t="s">
        <v>4021</v>
      </c>
      <c r="F96" s="195" t="s">
        <v>45</v>
      </c>
      <c r="G96" s="187">
        <v>2528614</v>
      </c>
      <c r="H96" s="188" t="s">
        <v>4022</v>
      </c>
    </row>
    <row r="97" spans="1:8" ht="15" customHeight="1">
      <c r="A97" s="184">
        <f t="shared" si="3"/>
        <v>94</v>
      </c>
      <c r="B97" s="185">
        <v>48103</v>
      </c>
      <c r="C97" s="186" t="s">
        <v>4023</v>
      </c>
      <c r="D97" s="186" t="str">
        <f t="shared" si="2"/>
        <v>DRŽAVNA ERGELA ĐAKOVO I LIPIK (48103)</v>
      </c>
      <c r="E97" s="195" t="s">
        <v>4024</v>
      </c>
      <c r="F97" s="195" t="s">
        <v>87</v>
      </c>
      <c r="G97" s="187">
        <v>2725029</v>
      </c>
      <c r="H97" s="188" t="s">
        <v>4025</v>
      </c>
    </row>
    <row r="98" spans="1:8" s="178" customFormat="1" ht="15" customHeight="1">
      <c r="A98" s="173">
        <f t="shared" si="3"/>
        <v>95</v>
      </c>
      <c r="B98" s="180">
        <v>47123</v>
      </c>
      <c r="C98" s="181" t="s">
        <v>4026</v>
      </c>
      <c r="D98" s="186" t="str">
        <f t="shared" si="2"/>
        <v>MINISTARSTVO REGIONALNOG RAZVOJA I FONDOVA EUROPSKE UNIJE  (47123)</v>
      </c>
      <c r="E98" s="181" t="s">
        <v>4027</v>
      </c>
      <c r="F98" s="181" t="s">
        <v>25</v>
      </c>
      <c r="G98" s="182">
        <v>2830442</v>
      </c>
      <c r="H98" s="183" t="s">
        <v>4028</v>
      </c>
    </row>
    <row r="99" spans="1:8" ht="15" customHeight="1">
      <c r="A99" s="184">
        <f t="shared" si="3"/>
        <v>96</v>
      </c>
      <c r="B99" s="185">
        <v>46366</v>
      </c>
      <c r="C99" s="186" t="s">
        <v>4029</v>
      </c>
      <c r="D99" s="186" t="str">
        <f t="shared" si="2"/>
        <v>FOND ZA OBNOVU I RAZVOJ GRADA VUKOVARA (46366)</v>
      </c>
      <c r="E99" s="186" t="s">
        <v>4030</v>
      </c>
      <c r="F99" s="186" t="s">
        <v>331</v>
      </c>
      <c r="G99" s="187">
        <v>1606492</v>
      </c>
      <c r="H99" s="188" t="s">
        <v>4031</v>
      </c>
    </row>
    <row r="100" spans="1:8" ht="15" customHeight="1">
      <c r="A100" s="184">
        <f t="shared" si="3"/>
        <v>97</v>
      </c>
      <c r="B100" s="185">
        <v>43255</v>
      </c>
      <c r="C100" s="186" t="s">
        <v>4032</v>
      </c>
      <c r="D100" s="186" t="str">
        <f t="shared" si="2"/>
        <v>SREDIŠNJA AGENCIJA ZA FINANCIRANJE I UGOVARANJE PROGRAMA I PROJEKATA EU (43255)</v>
      </c>
      <c r="E100" s="186" t="s">
        <v>4033</v>
      </c>
      <c r="F100" s="186" t="s">
        <v>25</v>
      </c>
      <c r="G100" s="187">
        <v>2288028</v>
      </c>
      <c r="H100" s="188" t="s">
        <v>4034</v>
      </c>
    </row>
    <row r="101" spans="1:8" s="178" customFormat="1" ht="15" customHeight="1">
      <c r="A101" s="173">
        <f t="shared" si="3"/>
        <v>98</v>
      </c>
      <c r="B101" s="180">
        <v>1087</v>
      </c>
      <c r="C101" s="181" t="s">
        <v>4035</v>
      </c>
      <c r="D101" s="186" t="str">
        <f t="shared" si="2"/>
        <v>MINISTARSTVO MORA, PROMETA I INFRASTRUKTURE (1087)</v>
      </c>
      <c r="E101" s="181" t="s">
        <v>4036</v>
      </c>
      <c r="F101" s="181" t="s">
        <v>25</v>
      </c>
      <c r="G101" s="182">
        <v>3277097</v>
      </c>
      <c r="H101" s="183" t="s">
        <v>4037</v>
      </c>
    </row>
    <row r="102" spans="1:8" ht="15" customHeight="1">
      <c r="A102" s="184">
        <f t="shared" si="3"/>
        <v>99</v>
      </c>
      <c r="B102" s="185">
        <v>41546</v>
      </c>
      <c r="C102" s="186" t="s">
        <v>4038</v>
      </c>
      <c r="D102" s="186" t="str">
        <f t="shared" si="2"/>
        <v>AGENCIJA ZA OBALNI LINIJSKI POMORSKI PROMET (41546)</v>
      </c>
      <c r="E102" s="186" t="s">
        <v>4039</v>
      </c>
      <c r="F102" s="186" t="s">
        <v>176</v>
      </c>
      <c r="G102" s="187">
        <v>2097958</v>
      </c>
      <c r="H102" s="188" t="s">
        <v>4040</v>
      </c>
    </row>
    <row r="103" spans="1:8" ht="15" customHeight="1">
      <c r="A103" s="184">
        <f t="shared" si="3"/>
        <v>100</v>
      </c>
      <c r="B103" s="185">
        <v>48031</v>
      </c>
      <c r="C103" s="186" t="s">
        <v>4041</v>
      </c>
      <c r="D103" s="186" t="str">
        <f t="shared" si="2"/>
        <v>AGENCIJA ZA ISTRAŽIVANJE NESREĆA U ZRAČNOM, POMORSKOM I ŽELJEZNIČKOM PROMETU (48031)</v>
      </c>
      <c r="E103" s="186" t="s">
        <v>4042</v>
      </c>
      <c r="F103" s="186" t="s">
        <v>25</v>
      </c>
      <c r="G103" s="189" t="s">
        <v>4043</v>
      </c>
      <c r="H103" s="188" t="s">
        <v>4044</v>
      </c>
    </row>
    <row r="104" spans="1:8" ht="15" customHeight="1">
      <c r="A104" s="184">
        <f t="shared" si="3"/>
        <v>101</v>
      </c>
      <c r="B104" s="185">
        <v>45228</v>
      </c>
      <c r="C104" s="186" t="s">
        <v>4045</v>
      </c>
      <c r="D104" s="186" t="str">
        <f t="shared" si="2"/>
        <v>AGENCIJA ZA SIGURNOST ŽELJEZNIČKOG PROMETA (45228)</v>
      </c>
      <c r="E104" s="186" t="s">
        <v>4046</v>
      </c>
      <c r="F104" s="186" t="s">
        <v>25</v>
      </c>
      <c r="G104" s="187">
        <v>2559633</v>
      </c>
      <c r="H104" s="188" t="s">
        <v>4047</v>
      </c>
    </row>
    <row r="105" spans="1:8" ht="15" customHeight="1">
      <c r="A105" s="184">
        <f t="shared" si="3"/>
        <v>102</v>
      </c>
      <c r="B105" s="185">
        <v>49083</v>
      </c>
      <c r="C105" s="186" t="s">
        <v>4048</v>
      </c>
      <c r="D105" s="186" t="str">
        <f t="shared" si="2"/>
        <v>HRVATSKA AGENCIJA ZA CIVILNO ZRAKOPLOVSTVO (49083)</v>
      </c>
      <c r="E105" s="186" t="s">
        <v>4033</v>
      </c>
      <c r="F105" s="186" t="s">
        <v>25</v>
      </c>
      <c r="G105" s="189" t="s">
        <v>4049</v>
      </c>
      <c r="H105" s="188" t="s">
        <v>4050</v>
      </c>
    </row>
    <row r="106" spans="1:8" ht="15" customHeight="1">
      <c r="A106" s="184">
        <f t="shared" si="3"/>
        <v>103</v>
      </c>
      <c r="B106" s="185">
        <v>6066</v>
      </c>
      <c r="C106" s="186" t="s">
        <v>4051</v>
      </c>
      <c r="D106" s="186" t="str">
        <f t="shared" si="2"/>
        <v>HRVATSKI HIDROGRAFSKI INSTITUT (6066)</v>
      </c>
      <c r="E106" s="186" t="s">
        <v>4052</v>
      </c>
      <c r="F106" s="186" t="s">
        <v>176</v>
      </c>
      <c r="G106" s="187">
        <v>3878724</v>
      </c>
      <c r="H106" s="188" t="s">
        <v>4053</v>
      </c>
    </row>
    <row r="107" spans="1:8" ht="15" customHeight="1">
      <c r="A107" s="184">
        <f t="shared" si="3"/>
        <v>104</v>
      </c>
      <c r="B107" s="185">
        <v>45902</v>
      </c>
      <c r="C107" s="186" t="s">
        <v>4054</v>
      </c>
      <c r="D107" s="186" t="str">
        <f t="shared" si="2"/>
        <v>HRVATSKA REGULATORNA AGENCIJA ZA MREŽNE DJELATNOSTI (45902)</v>
      </c>
      <c r="E107" s="186" t="s">
        <v>4055</v>
      </c>
      <c r="F107" s="186" t="s">
        <v>4056</v>
      </c>
      <c r="G107" s="189">
        <v>1865862</v>
      </c>
      <c r="H107" s="188" t="s">
        <v>4057</v>
      </c>
    </row>
    <row r="108" spans="1:8" ht="15" customHeight="1">
      <c r="A108" s="184">
        <f t="shared" si="3"/>
        <v>105</v>
      </c>
      <c r="B108" s="185">
        <v>51255</v>
      </c>
      <c r="C108" s="186" t="s">
        <v>4058</v>
      </c>
      <c r="D108" s="186" t="str">
        <f t="shared" si="2"/>
        <v>JAVNA USTANOVA LUČKA UPRAVA SISAK (51255)</v>
      </c>
      <c r="E108" s="196" t="s">
        <v>4059</v>
      </c>
      <c r="F108" s="196" t="s">
        <v>293</v>
      </c>
      <c r="G108" s="197" t="s">
        <v>4060</v>
      </c>
      <c r="H108" s="188" t="s">
        <v>4061</v>
      </c>
    </row>
    <row r="109" spans="1:8" ht="15" customHeight="1">
      <c r="A109" s="184">
        <f t="shared" si="3"/>
        <v>106</v>
      </c>
      <c r="B109" s="185">
        <v>51263</v>
      </c>
      <c r="C109" s="186" t="s">
        <v>4062</v>
      </c>
      <c r="D109" s="186" t="str">
        <f t="shared" si="2"/>
        <v>JAVNA USTANOVA LUČKA UPRAVA SLAVONSKI BROD (51263)</v>
      </c>
      <c r="E109" s="196" t="s">
        <v>4063</v>
      </c>
      <c r="F109" s="196" t="s">
        <v>172</v>
      </c>
      <c r="G109" s="197" t="s">
        <v>4064</v>
      </c>
      <c r="H109" s="188" t="s">
        <v>4065</v>
      </c>
    </row>
    <row r="110" spans="1:8" ht="15" customHeight="1">
      <c r="A110" s="184">
        <f t="shared" si="3"/>
        <v>107</v>
      </c>
      <c r="B110" s="185">
        <v>51343</v>
      </c>
      <c r="C110" s="186" t="s">
        <v>4066</v>
      </c>
      <c r="D110" s="186" t="str">
        <f t="shared" si="2"/>
        <v>LUČKA UPRAVA DUBROVNIK (51343)</v>
      </c>
      <c r="E110" s="186" t="s">
        <v>4067</v>
      </c>
      <c r="F110" s="186" t="s">
        <v>120</v>
      </c>
      <c r="G110" s="189" t="s">
        <v>4068</v>
      </c>
      <c r="H110" s="188" t="s">
        <v>4069</v>
      </c>
    </row>
    <row r="111" spans="1:8" ht="15" customHeight="1">
      <c r="A111" s="184">
        <f t="shared" si="3"/>
        <v>108</v>
      </c>
      <c r="B111" s="185">
        <v>51319</v>
      </c>
      <c r="C111" s="186" t="s">
        <v>4070</v>
      </c>
      <c r="D111" s="186" t="str">
        <f t="shared" si="2"/>
        <v>LUČKA UPRAVA OSIJEK (51319)</v>
      </c>
      <c r="E111" s="186" t="s">
        <v>4071</v>
      </c>
      <c r="F111" s="186" t="s">
        <v>45</v>
      </c>
      <c r="G111" s="189" t="s">
        <v>4072</v>
      </c>
      <c r="H111" s="188" t="s">
        <v>4073</v>
      </c>
    </row>
    <row r="112" spans="1:8" ht="15" customHeight="1">
      <c r="A112" s="184">
        <f t="shared" si="3"/>
        <v>109</v>
      </c>
      <c r="B112" s="185">
        <v>51298</v>
      </c>
      <c r="C112" s="186" t="s">
        <v>4074</v>
      </c>
      <c r="D112" s="186" t="str">
        <f t="shared" si="2"/>
        <v>LUČKA UPRAVA PLOČE (51298)</v>
      </c>
      <c r="E112" s="186" t="s">
        <v>4075</v>
      </c>
      <c r="F112" s="186" t="s">
        <v>4076</v>
      </c>
      <c r="G112" s="189" t="s">
        <v>4077</v>
      </c>
      <c r="H112" s="188" t="s">
        <v>4078</v>
      </c>
    </row>
    <row r="113" spans="1:8" ht="15" customHeight="1">
      <c r="A113" s="184">
        <f t="shared" si="3"/>
        <v>110</v>
      </c>
      <c r="B113" s="185">
        <v>51302</v>
      </c>
      <c r="C113" s="186" t="s">
        <v>4079</v>
      </c>
      <c r="D113" s="186" t="str">
        <f t="shared" si="2"/>
        <v>LUČKA UPRAVA RIJEKA (51302)</v>
      </c>
      <c r="E113" s="186" t="s">
        <v>4080</v>
      </c>
      <c r="F113" s="186" t="s">
        <v>126</v>
      </c>
      <c r="G113" s="189" t="s">
        <v>4081</v>
      </c>
      <c r="H113" s="188" t="s">
        <v>4082</v>
      </c>
    </row>
    <row r="114" spans="1:8" ht="15" customHeight="1">
      <c r="A114" s="184">
        <f t="shared" si="3"/>
        <v>111</v>
      </c>
      <c r="B114" s="185">
        <v>51327</v>
      </c>
      <c r="C114" s="196" t="s">
        <v>4083</v>
      </c>
      <c r="D114" s="186" t="str">
        <f t="shared" si="2"/>
        <v>LUČKA UPRAVA SPLIT (51327)</v>
      </c>
      <c r="E114" s="196" t="s">
        <v>4084</v>
      </c>
      <c r="F114" s="196" t="s">
        <v>176</v>
      </c>
      <c r="G114" s="198" t="s">
        <v>4085</v>
      </c>
      <c r="H114" s="188" t="s">
        <v>4086</v>
      </c>
    </row>
    <row r="115" spans="1:8" ht="15" customHeight="1">
      <c r="A115" s="184">
        <f t="shared" si="3"/>
        <v>112</v>
      </c>
      <c r="B115" s="185">
        <v>51335</v>
      </c>
      <c r="C115" s="196" t="s">
        <v>4087</v>
      </c>
      <c r="D115" s="186" t="str">
        <f t="shared" si="2"/>
        <v>LUČKA UPRAVA ŠIBENIK (51335)</v>
      </c>
      <c r="E115" s="196" t="s">
        <v>4088</v>
      </c>
      <c r="F115" s="196" t="s">
        <v>350</v>
      </c>
      <c r="G115" s="198" t="s">
        <v>4089</v>
      </c>
      <c r="H115" s="188" t="s">
        <v>4090</v>
      </c>
    </row>
    <row r="116" spans="1:8" ht="15" customHeight="1">
      <c r="A116" s="184">
        <f t="shared" si="3"/>
        <v>113</v>
      </c>
      <c r="B116" s="185">
        <v>51280</v>
      </c>
      <c r="C116" s="186" t="s">
        <v>4091</v>
      </c>
      <c r="D116" s="186" t="str">
        <f t="shared" si="2"/>
        <v>LUČKA UPRAVA VUKOVAR (51280)</v>
      </c>
      <c r="E116" s="186" t="s">
        <v>4092</v>
      </c>
      <c r="F116" s="186" t="s">
        <v>331</v>
      </c>
      <c r="G116" s="189" t="s">
        <v>4093</v>
      </c>
      <c r="H116" s="188" t="s">
        <v>4094</v>
      </c>
    </row>
    <row r="117" spans="1:8" ht="15" customHeight="1">
      <c r="A117" s="184">
        <f t="shared" si="3"/>
        <v>114</v>
      </c>
      <c r="B117" s="185">
        <v>51271</v>
      </c>
      <c r="C117" s="186" t="s">
        <v>4095</v>
      </c>
      <c r="D117" s="186" t="str">
        <f t="shared" si="2"/>
        <v>LUČKA UPRAVA ZADAR (51271)</v>
      </c>
      <c r="E117" s="186" t="s">
        <v>4096</v>
      </c>
      <c r="F117" s="186" t="s">
        <v>218</v>
      </c>
      <c r="G117" s="189" t="s">
        <v>4097</v>
      </c>
      <c r="H117" s="188" t="s">
        <v>4098</v>
      </c>
    </row>
    <row r="118" spans="1:8" s="178" customFormat="1" ht="15" customHeight="1">
      <c r="A118" s="173">
        <f t="shared" si="3"/>
        <v>115</v>
      </c>
      <c r="B118" s="180">
        <v>47061</v>
      </c>
      <c r="C118" s="181" t="s">
        <v>4099</v>
      </c>
      <c r="D118" s="186" t="str">
        <f t="shared" si="2"/>
        <v>MINISTARSTVO PROSTORNOGA UREĐENJA, GRADITELJSTVA I DRŽAVNE IMOVINE (47061)</v>
      </c>
      <c r="E118" s="181" t="s">
        <v>4100</v>
      </c>
      <c r="F118" s="181" t="s">
        <v>25</v>
      </c>
      <c r="G118" s="182">
        <v>2831317</v>
      </c>
      <c r="H118" s="183" t="s">
        <v>4101</v>
      </c>
    </row>
    <row r="119" spans="1:8" ht="15" customHeight="1">
      <c r="A119" s="184">
        <f t="shared" si="3"/>
        <v>116</v>
      </c>
      <c r="B119" s="185">
        <v>22058</v>
      </c>
      <c r="C119" s="186" t="s">
        <v>4102</v>
      </c>
      <c r="D119" s="186" t="str">
        <f t="shared" si="2"/>
        <v>AGENCIJA ZA PRAVNI PROMET I POSREDOVANJE NEKRETNINAMA (22058)</v>
      </c>
      <c r="E119" s="186" t="s">
        <v>4103</v>
      </c>
      <c r="F119" s="186" t="s">
        <v>25</v>
      </c>
      <c r="G119" s="187">
        <v>1294164</v>
      </c>
      <c r="H119" s="188" t="s">
        <v>4104</v>
      </c>
    </row>
    <row r="120" spans="1:8" ht="15" customHeight="1">
      <c r="A120" s="184">
        <f t="shared" si="3"/>
        <v>117</v>
      </c>
      <c r="B120" s="185">
        <v>6120</v>
      </c>
      <c r="C120" s="186" t="s">
        <v>4105</v>
      </c>
      <c r="D120" s="186" t="str">
        <f t="shared" si="2"/>
        <v>DRŽAVNA GEODETSKA UPRAVA (6120)</v>
      </c>
      <c r="E120" s="186" t="s">
        <v>4106</v>
      </c>
      <c r="F120" s="186" t="s">
        <v>25</v>
      </c>
      <c r="G120" s="187">
        <v>936693</v>
      </c>
      <c r="H120" s="188" t="s">
        <v>4107</v>
      </c>
    </row>
    <row r="121" spans="1:8" ht="24">
      <c r="A121" s="184">
        <f t="shared" si="3"/>
        <v>118</v>
      </c>
      <c r="B121" s="185">
        <v>51724</v>
      </c>
      <c r="C121" s="186" t="s">
        <v>4108</v>
      </c>
      <c r="D121" s="186" t="str">
        <f t="shared" si="2"/>
        <v>FOND ZA OBNOVU GRADA ZAGREBA, KRAPINSKO-ZAGORSKE ŽUPANIJE I ZAGREBAČKE ŽUPANIJE (51724)</v>
      </c>
      <c r="E121" s="186" t="s">
        <v>4109</v>
      </c>
      <c r="F121" s="186" t="s">
        <v>25</v>
      </c>
      <c r="G121" s="187">
        <v>5332494</v>
      </c>
      <c r="H121" s="188" t="s">
        <v>4110</v>
      </c>
    </row>
    <row r="122" spans="1:8" s="178" customFormat="1" ht="15" customHeight="1">
      <c r="A122" s="173">
        <f>+A121+1</f>
        <v>119</v>
      </c>
      <c r="B122" s="180">
        <v>47053</v>
      </c>
      <c r="C122" s="181" t="s">
        <v>4111</v>
      </c>
      <c r="D122" s="186" t="str">
        <f t="shared" si="2"/>
        <v>MINISTARSTVO GOSPODARSTVA I ODRŽIVOG RAZVOJA (47053)</v>
      </c>
      <c r="E122" s="181" t="s">
        <v>4112</v>
      </c>
      <c r="F122" s="181" t="s">
        <v>25</v>
      </c>
      <c r="G122" s="182">
        <v>2831309</v>
      </c>
      <c r="H122" s="183" t="s">
        <v>4113</v>
      </c>
    </row>
    <row r="123" spans="1:8" ht="15" customHeight="1">
      <c r="A123" s="184">
        <f t="shared" ref="A123:A186" si="4">+A122+1</f>
        <v>120</v>
      </c>
      <c r="B123" s="185">
        <v>22162</v>
      </c>
      <c r="C123" s="186" t="s">
        <v>4114</v>
      </c>
      <c r="D123" s="186" t="str">
        <f t="shared" si="2"/>
        <v>JAVNA USTANOVA NACIONALNI PARK BRIJUNI - PUBLIC INSTITUTION BRIJUNI NATIONAL PARK (22162)</v>
      </c>
      <c r="E123" s="186" t="s">
        <v>4115</v>
      </c>
      <c r="F123" s="186" t="s">
        <v>4116</v>
      </c>
      <c r="G123" s="187">
        <v>3286436</v>
      </c>
      <c r="H123" s="188" t="s">
        <v>4117</v>
      </c>
    </row>
    <row r="124" spans="1:8" ht="15" customHeight="1">
      <c r="A124" s="184">
        <f t="shared" si="4"/>
        <v>121</v>
      </c>
      <c r="B124" s="185">
        <v>22138</v>
      </c>
      <c r="C124" s="186" t="s">
        <v>4118</v>
      </c>
      <c r="D124" s="186" t="str">
        <f t="shared" si="2"/>
        <v>J. U. NACIONALNI PARK KORNATI  (22138)</v>
      </c>
      <c r="E124" s="186" t="s">
        <v>4119</v>
      </c>
      <c r="F124" s="186" t="s">
        <v>4120</v>
      </c>
      <c r="G124" s="187">
        <v>3957772</v>
      </c>
      <c r="H124" s="188" t="s">
        <v>4121</v>
      </c>
    </row>
    <row r="125" spans="1:8" ht="15" customHeight="1">
      <c r="A125" s="184">
        <f t="shared" si="4"/>
        <v>122</v>
      </c>
      <c r="B125" s="185">
        <v>22234</v>
      </c>
      <c r="C125" s="186" t="s">
        <v>4122</v>
      </c>
      <c r="D125" s="186" t="str">
        <f t="shared" si="2"/>
        <v>J. U. NACIONALNI PARK KRKA (22234)</v>
      </c>
      <c r="E125" s="186" t="s">
        <v>4123</v>
      </c>
      <c r="F125" s="186" t="s">
        <v>350</v>
      </c>
      <c r="G125" s="187">
        <v>3418103</v>
      </c>
      <c r="H125" s="188" t="s">
        <v>4124</v>
      </c>
    </row>
    <row r="126" spans="1:8" ht="15" customHeight="1">
      <c r="A126" s="184">
        <f t="shared" si="4"/>
        <v>123</v>
      </c>
      <c r="B126" s="185">
        <v>22179</v>
      </c>
      <c r="C126" s="186" t="s">
        <v>4125</v>
      </c>
      <c r="D126" s="186" t="str">
        <f t="shared" si="2"/>
        <v>J. U. NACIONALNI PARK MLJET (22179)</v>
      </c>
      <c r="E126" s="186" t="s">
        <v>4126</v>
      </c>
      <c r="F126" s="186" t="s">
        <v>4127</v>
      </c>
      <c r="G126" s="187">
        <v>3324974</v>
      </c>
      <c r="H126" s="188" t="s">
        <v>4128</v>
      </c>
    </row>
    <row r="127" spans="1:8" ht="15" customHeight="1">
      <c r="A127" s="184">
        <f t="shared" si="4"/>
        <v>124</v>
      </c>
      <c r="B127" s="185">
        <v>22200</v>
      </c>
      <c r="C127" s="186" t="s">
        <v>4129</v>
      </c>
      <c r="D127" s="186" t="str">
        <f t="shared" si="2"/>
        <v>J. U. NACIONALNI PARK PAKLENICA (22200)</v>
      </c>
      <c r="E127" s="186" t="s">
        <v>4130</v>
      </c>
      <c r="F127" s="186" t="s">
        <v>4131</v>
      </c>
      <c r="G127" s="187">
        <v>3142027</v>
      </c>
      <c r="H127" s="188" t="s">
        <v>4132</v>
      </c>
    </row>
    <row r="128" spans="1:8" ht="15" customHeight="1">
      <c r="A128" s="184">
        <f t="shared" si="4"/>
        <v>125</v>
      </c>
      <c r="B128" s="185">
        <v>22218</v>
      </c>
      <c r="C128" s="186" t="s">
        <v>4133</v>
      </c>
      <c r="D128" s="186" t="str">
        <f t="shared" si="2"/>
        <v>J. U. NACIONALNI PARK PLITVIČKA JEZERA (22218)</v>
      </c>
      <c r="E128" s="186" t="s">
        <v>4134</v>
      </c>
      <c r="F128" s="186" t="s">
        <v>4135</v>
      </c>
      <c r="G128" s="187">
        <v>3310850</v>
      </c>
      <c r="H128" s="188" t="s">
        <v>4136</v>
      </c>
    </row>
    <row r="129" spans="1:8" ht="15" customHeight="1">
      <c r="A129" s="184">
        <f t="shared" si="4"/>
        <v>126</v>
      </c>
      <c r="B129" s="185">
        <v>22187</v>
      </c>
      <c r="C129" s="186" t="s">
        <v>4137</v>
      </c>
      <c r="D129" s="186" t="str">
        <f t="shared" si="2"/>
        <v>J. U. NACIONALNI PARK RISNJAK (22187)</v>
      </c>
      <c r="E129" s="186" t="s">
        <v>4138</v>
      </c>
      <c r="F129" s="186" t="s">
        <v>4139</v>
      </c>
      <c r="G129" s="187">
        <v>3033619</v>
      </c>
      <c r="H129" s="188" t="s">
        <v>4140</v>
      </c>
    </row>
    <row r="130" spans="1:8" ht="15" customHeight="1">
      <c r="A130" s="184">
        <f t="shared" si="4"/>
        <v>127</v>
      </c>
      <c r="B130" s="185">
        <v>26506</v>
      </c>
      <c r="C130" s="186" t="s">
        <v>4141</v>
      </c>
      <c r="D130" s="186" t="str">
        <f t="shared" si="2"/>
        <v>J. U. NACIONALNI PARK SJEVERNI VELEBIT (26506)</v>
      </c>
      <c r="E130" s="186" t="s">
        <v>4142</v>
      </c>
      <c r="F130" s="186" t="s">
        <v>4143</v>
      </c>
      <c r="G130" s="187">
        <v>1486993</v>
      </c>
      <c r="H130" s="188" t="s">
        <v>4144</v>
      </c>
    </row>
    <row r="131" spans="1:8" ht="15" customHeight="1">
      <c r="A131" s="184">
        <f t="shared" si="4"/>
        <v>128</v>
      </c>
      <c r="B131" s="185">
        <v>23243</v>
      </c>
      <c r="C131" s="186" t="s">
        <v>4145</v>
      </c>
      <c r="D131" s="186" t="str">
        <f t="shared" si="2"/>
        <v>J. U. PARK PRIRODE BIOKOVO (23243)</v>
      </c>
      <c r="E131" s="186" t="s">
        <v>4146</v>
      </c>
      <c r="F131" s="186" t="s">
        <v>4147</v>
      </c>
      <c r="G131" s="187">
        <v>1408232</v>
      </c>
      <c r="H131" s="188" t="s">
        <v>4148</v>
      </c>
    </row>
    <row r="132" spans="1:8" ht="15" customHeight="1">
      <c r="A132" s="184">
        <f t="shared" si="4"/>
        <v>129</v>
      </c>
      <c r="B132" s="185">
        <v>22154</v>
      </c>
      <c r="C132" s="186" t="s">
        <v>4149</v>
      </c>
      <c r="D132" s="186" t="str">
        <f t="shared" ref="D132:D195" si="5">C132&amp;" ("&amp;B132&amp;")"</f>
        <v>J. U. PARK PRIRODE KOPAČKI RIT (22154)</v>
      </c>
      <c r="E132" s="186" t="s">
        <v>4150</v>
      </c>
      <c r="F132" s="186" t="s">
        <v>4151</v>
      </c>
      <c r="G132" s="187">
        <v>1334239</v>
      </c>
      <c r="H132" s="188" t="s">
        <v>4152</v>
      </c>
    </row>
    <row r="133" spans="1:8" ht="15" customHeight="1">
      <c r="A133" s="184">
        <f t="shared" si="4"/>
        <v>130</v>
      </c>
      <c r="B133" s="185">
        <v>42598</v>
      </c>
      <c r="C133" s="186" t="s">
        <v>4153</v>
      </c>
      <c r="D133" s="186" t="str">
        <f t="shared" si="5"/>
        <v>J. U. PARK PRIRODE LASTOVSKO OTOČJE (42598)</v>
      </c>
      <c r="E133" s="194" t="s">
        <v>4154</v>
      </c>
      <c r="F133" s="194" t="s">
        <v>4155</v>
      </c>
      <c r="G133" s="193">
        <v>2175843</v>
      </c>
      <c r="H133" s="188" t="s">
        <v>4156</v>
      </c>
    </row>
    <row r="134" spans="1:8" ht="15" customHeight="1">
      <c r="A134" s="184">
        <f t="shared" si="4"/>
        <v>131</v>
      </c>
      <c r="B134" s="185">
        <v>22226</v>
      </c>
      <c r="C134" s="186" t="s">
        <v>4157</v>
      </c>
      <c r="D134" s="186" t="str">
        <f t="shared" si="5"/>
        <v>J. U. PARK PRIRODE LONJSKO POLJE (22226)</v>
      </c>
      <c r="E134" s="186" t="s">
        <v>4158</v>
      </c>
      <c r="F134" s="186" t="s">
        <v>4159</v>
      </c>
      <c r="G134" s="187">
        <v>1300997</v>
      </c>
      <c r="H134" s="188" t="s">
        <v>4160</v>
      </c>
    </row>
    <row r="135" spans="1:8" ht="15" customHeight="1">
      <c r="A135" s="184">
        <f t="shared" si="4"/>
        <v>132</v>
      </c>
      <c r="B135" s="185">
        <v>23497</v>
      </c>
      <c r="C135" s="186" t="s">
        <v>4161</v>
      </c>
      <c r="D135" s="186" t="str">
        <f t="shared" si="5"/>
        <v>J. U. PARK PRIRODE MEDVEDNICA (23497)</v>
      </c>
      <c r="E135" s="186" t="s">
        <v>4162</v>
      </c>
      <c r="F135" s="186" t="s">
        <v>25</v>
      </c>
      <c r="G135" s="187">
        <v>1463080</v>
      </c>
      <c r="H135" s="188" t="s">
        <v>4163</v>
      </c>
    </row>
    <row r="136" spans="1:8" ht="15" customHeight="1">
      <c r="A136" s="184">
        <f t="shared" si="4"/>
        <v>133</v>
      </c>
      <c r="B136" s="185">
        <v>26514</v>
      </c>
      <c r="C136" s="186" t="s">
        <v>4164</v>
      </c>
      <c r="D136" s="186" t="str">
        <f t="shared" si="5"/>
        <v>J. U. PARK PRIRODE PAPUK  (26514)</v>
      </c>
      <c r="E136" s="186" t="s">
        <v>4165</v>
      </c>
      <c r="F136" s="186" t="s">
        <v>4166</v>
      </c>
      <c r="G136" s="187">
        <v>1503847</v>
      </c>
      <c r="H136" s="188" t="s">
        <v>4167</v>
      </c>
    </row>
    <row r="137" spans="1:8" ht="15" customHeight="1">
      <c r="A137" s="184">
        <f t="shared" si="4"/>
        <v>134</v>
      </c>
      <c r="B137" s="185">
        <v>22195</v>
      </c>
      <c r="C137" s="186" t="s">
        <v>4168</v>
      </c>
      <c r="D137" s="186" t="str">
        <f t="shared" si="5"/>
        <v>J. U. PARK PRIRODE TELAŠĆICA (22195)</v>
      </c>
      <c r="E137" s="186" t="s">
        <v>4169</v>
      </c>
      <c r="F137" s="186" t="s">
        <v>4170</v>
      </c>
      <c r="G137" s="187">
        <v>3439780</v>
      </c>
      <c r="H137" s="188" t="s">
        <v>4171</v>
      </c>
    </row>
    <row r="138" spans="1:8" ht="15" customHeight="1">
      <c r="A138" s="184">
        <f t="shared" si="4"/>
        <v>135</v>
      </c>
      <c r="B138" s="185">
        <v>25925</v>
      </c>
      <c r="C138" s="186" t="s">
        <v>4172</v>
      </c>
      <c r="D138" s="186" t="str">
        <f t="shared" si="5"/>
        <v>J. U. PARK PRIRODE UČKA (25925)</v>
      </c>
      <c r="E138" s="186" t="s">
        <v>4173</v>
      </c>
      <c r="F138" s="186" t="s">
        <v>4174</v>
      </c>
      <c r="G138" s="187">
        <v>1508342</v>
      </c>
      <c r="H138" s="188" t="s">
        <v>4175</v>
      </c>
    </row>
    <row r="139" spans="1:8" ht="15" customHeight="1">
      <c r="A139" s="184">
        <f t="shared" si="4"/>
        <v>136</v>
      </c>
      <c r="B139" s="185">
        <v>25933</v>
      </c>
      <c r="C139" s="186" t="s">
        <v>4176</v>
      </c>
      <c r="D139" s="186" t="str">
        <f t="shared" si="5"/>
        <v>JAVNA USTANOVA PARK PRIRODE VELEBIT (25933)</v>
      </c>
      <c r="E139" s="186" t="s">
        <v>4177</v>
      </c>
      <c r="F139" s="186" t="s">
        <v>339</v>
      </c>
      <c r="G139" s="187">
        <v>1439863</v>
      </c>
      <c r="H139" s="188" t="s">
        <v>4178</v>
      </c>
    </row>
    <row r="140" spans="1:8" ht="15" customHeight="1">
      <c r="A140" s="184">
        <f t="shared" si="4"/>
        <v>137</v>
      </c>
      <c r="B140" s="185">
        <v>26522</v>
      </c>
      <c r="C140" s="186" t="s">
        <v>4179</v>
      </c>
      <c r="D140" s="186" t="str">
        <f t="shared" si="5"/>
        <v>JAVNA USTANOVA PARK PRIRODE VRANSKO JEZERO (26522)</v>
      </c>
      <c r="E140" s="186" t="s">
        <v>4180</v>
      </c>
      <c r="F140" s="186" t="s">
        <v>4181</v>
      </c>
      <c r="G140" s="187">
        <v>1504495</v>
      </c>
      <c r="H140" s="188" t="s">
        <v>4182</v>
      </c>
    </row>
    <row r="141" spans="1:8" ht="15" customHeight="1">
      <c r="A141" s="184">
        <f t="shared" si="4"/>
        <v>138</v>
      </c>
      <c r="B141" s="185">
        <v>26539</v>
      </c>
      <c r="C141" s="186" t="s">
        <v>4183</v>
      </c>
      <c r="D141" s="186" t="str">
        <f t="shared" si="5"/>
        <v>J. U. PARK PRIRODE ŽUMBERAK-SAMOBORSKO GORJE (26539)</v>
      </c>
      <c r="E141" s="186" t="s">
        <v>4184</v>
      </c>
      <c r="F141" s="186" t="s">
        <v>4185</v>
      </c>
      <c r="G141" s="187">
        <v>1481517</v>
      </c>
      <c r="H141" s="188" t="s">
        <v>4186</v>
      </c>
    </row>
    <row r="142" spans="1:8" ht="15" customHeight="1">
      <c r="A142" s="184">
        <f t="shared" si="4"/>
        <v>139</v>
      </c>
      <c r="B142" s="185">
        <v>21609</v>
      </c>
      <c r="C142" s="186" t="s">
        <v>4187</v>
      </c>
      <c r="D142" s="186" t="str">
        <f t="shared" si="5"/>
        <v>DRŽAVNI HIDROMETEOROLOŠKI ZAVOD (21609)</v>
      </c>
      <c r="E142" s="186" t="s">
        <v>4188</v>
      </c>
      <c r="F142" s="186" t="s">
        <v>25</v>
      </c>
      <c r="G142" s="187">
        <v>3206017</v>
      </c>
      <c r="H142" s="188" t="s">
        <v>4189</v>
      </c>
    </row>
    <row r="143" spans="1:8" s="178" customFormat="1" ht="15" customHeight="1">
      <c r="A143" s="184">
        <f t="shared" si="4"/>
        <v>140</v>
      </c>
      <c r="B143" s="185">
        <v>49649</v>
      </c>
      <c r="C143" s="186" t="s">
        <v>4190</v>
      </c>
      <c r="D143" s="186" t="str">
        <f t="shared" si="5"/>
        <v>AGENCIJA ZA UGLJIKOVODIKE (49649)</v>
      </c>
      <c r="E143" s="195" t="s">
        <v>4191</v>
      </c>
      <c r="F143" s="186" t="s">
        <v>25</v>
      </c>
      <c r="G143" s="189" t="s">
        <v>4192</v>
      </c>
      <c r="H143" s="188" t="s">
        <v>4193</v>
      </c>
    </row>
    <row r="144" spans="1:8" s="178" customFormat="1" ht="15" customHeight="1">
      <c r="A144" s="184">
        <f t="shared" si="4"/>
        <v>141</v>
      </c>
      <c r="B144" s="185">
        <v>49091</v>
      </c>
      <c r="C144" s="186" t="s">
        <v>4194</v>
      </c>
      <c r="D144" s="186" t="str">
        <f t="shared" si="5"/>
        <v>HRVATSKA ENERGETSKA REGULATORNA AGENCIJA (49091)</v>
      </c>
      <c r="E144" s="186" t="s">
        <v>4195</v>
      </c>
      <c r="F144" s="186" t="s">
        <v>25</v>
      </c>
      <c r="G144" s="187" t="s">
        <v>4196</v>
      </c>
      <c r="H144" s="188" t="s">
        <v>4197</v>
      </c>
    </row>
    <row r="145" spans="1:8" s="178" customFormat="1" ht="15" customHeight="1">
      <c r="A145" s="184">
        <f t="shared" si="4"/>
        <v>142</v>
      </c>
      <c r="B145" s="185">
        <v>47131</v>
      </c>
      <c r="C145" s="186" t="s">
        <v>4198</v>
      </c>
      <c r="D145" s="186" t="str">
        <f t="shared" si="5"/>
        <v>MINISTARSTVO GOSPODARSTVA I ODRŽIVOG RAZVOJA – RAVNATELJSTVO ZA ROBNE ZALIHE (47131)</v>
      </c>
      <c r="E145" s="186" t="s">
        <v>441</v>
      </c>
      <c r="F145" s="186" t="s">
        <v>25</v>
      </c>
      <c r="G145" s="187">
        <v>2831309</v>
      </c>
      <c r="H145" s="188" t="s">
        <v>4113</v>
      </c>
    </row>
    <row r="146" spans="1:8" ht="15" customHeight="1">
      <c r="A146" s="184">
        <f t="shared" si="4"/>
        <v>143</v>
      </c>
      <c r="B146" s="185">
        <v>6082</v>
      </c>
      <c r="C146" s="186" t="s">
        <v>4199</v>
      </c>
      <c r="D146" s="186" t="str">
        <f t="shared" si="5"/>
        <v>DRŽAVNI ZAVOD ZA MJERITELJSTVO (6082)</v>
      </c>
      <c r="E146" s="186" t="s">
        <v>4200</v>
      </c>
      <c r="F146" s="186" t="s">
        <v>25</v>
      </c>
      <c r="G146" s="187">
        <v>3799166</v>
      </c>
      <c r="H146" s="188" t="s">
        <v>4201</v>
      </c>
    </row>
    <row r="147" spans="1:8" ht="15" customHeight="1">
      <c r="A147" s="184">
        <f t="shared" si="4"/>
        <v>144</v>
      </c>
      <c r="B147" s="185">
        <v>38495</v>
      </c>
      <c r="C147" s="186" t="s">
        <v>4202</v>
      </c>
      <c r="D147" s="186" t="str">
        <f t="shared" si="5"/>
        <v>HRVATSKI ZAVOD ZA NORME (38495)</v>
      </c>
      <c r="E147" s="186" t="s">
        <v>441</v>
      </c>
      <c r="F147" s="186" t="s">
        <v>25</v>
      </c>
      <c r="G147" s="187">
        <v>1957406</v>
      </c>
      <c r="H147" s="188" t="s">
        <v>4203</v>
      </c>
    </row>
    <row r="148" spans="1:8" ht="15" customHeight="1">
      <c r="A148" s="184">
        <f t="shared" si="4"/>
        <v>145</v>
      </c>
      <c r="B148" s="185">
        <v>38500</v>
      </c>
      <c r="C148" s="186" t="s">
        <v>4204</v>
      </c>
      <c r="D148" s="186" t="str">
        <f t="shared" si="5"/>
        <v>HRVATSKA AKREDITACIJSKA AGENCIJA (38500)</v>
      </c>
      <c r="E148" s="186" t="s">
        <v>441</v>
      </c>
      <c r="F148" s="186" t="s">
        <v>25</v>
      </c>
      <c r="G148" s="187">
        <v>1956868</v>
      </c>
      <c r="H148" s="188" t="s">
        <v>4205</v>
      </c>
    </row>
    <row r="149" spans="1:8" s="178" customFormat="1" ht="15" customHeight="1">
      <c r="A149" s="184">
        <f t="shared" si="4"/>
        <v>146</v>
      </c>
      <c r="B149" s="185">
        <v>46237</v>
      </c>
      <c r="C149" s="186" t="s">
        <v>4206</v>
      </c>
      <c r="D149" s="186" t="str">
        <f t="shared" si="5"/>
        <v>HRVATSKA AGENCIJA ZA MALO GOSPODARSTVO, INOVACIJE I INVESTICIJE (46237)</v>
      </c>
      <c r="E149" s="186" t="s">
        <v>4207</v>
      </c>
      <c r="F149" s="186" t="s">
        <v>25</v>
      </c>
      <c r="G149" s="187">
        <v>767875</v>
      </c>
      <c r="H149" s="188" t="s">
        <v>4208</v>
      </c>
    </row>
    <row r="150" spans="1:8" s="178" customFormat="1" ht="15" customHeight="1">
      <c r="A150" s="173">
        <f t="shared" si="4"/>
        <v>147</v>
      </c>
      <c r="B150" s="180">
        <v>1222</v>
      </c>
      <c r="C150" s="181" t="s">
        <v>23</v>
      </c>
      <c r="D150" s="186" t="str">
        <f t="shared" si="5"/>
        <v>MINISTARSTVO ZNANOSTI I OBRAZOVANJA  (1222)</v>
      </c>
      <c r="E150" s="181" t="s">
        <v>24</v>
      </c>
      <c r="F150" s="181" t="s">
        <v>25</v>
      </c>
      <c r="G150" s="182">
        <v>3271030</v>
      </c>
      <c r="H150" s="183" t="s">
        <v>26</v>
      </c>
    </row>
    <row r="151" spans="1:8" ht="15" customHeight="1">
      <c r="A151" s="184">
        <f t="shared" si="4"/>
        <v>148</v>
      </c>
      <c r="B151" s="185">
        <v>2063</v>
      </c>
      <c r="C151" s="186" t="s">
        <v>29</v>
      </c>
      <c r="D151" s="186" t="str">
        <f t="shared" si="5"/>
        <v>FAKULTET ORGANIZACIJE I INFORMATIKE U VARAŽDINU (2063)</v>
      </c>
      <c r="E151" s="186" t="s">
        <v>31</v>
      </c>
      <c r="F151" s="186" t="s">
        <v>32</v>
      </c>
      <c r="G151" s="187">
        <v>3006107</v>
      </c>
      <c r="H151" s="188" t="s">
        <v>33</v>
      </c>
    </row>
    <row r="152" spans="1:8" ht="15" customHeight="1">
      <c r="A152" s="184">
        <f t="shared" si="4"/>
        <v>149</v>
      </c>
      <c r="B152" s="185">
        <v>43749</v>
      </c>
      <c r="C152" s="186" t="s">
        <v>37</v>
      </c>
      <c r="D152" s="186" t="str">
        <f t="shared" si="5"/>
        <v>MEĐIMURSKO VELEUČILIŠTE U ČAKOVCU (43749)</v>
      </c>
      <c r="E152" s="186" t="s">
        <v>39</v>
      </c>
      <c r="F152" s="186" t="s">
        <v>40</v>
      </c>
      <c r="G152" s="187">
        <v>2382512</v>
      </c>
      <c r="H152" s="188" t="s">
        <v>41</v>
      </c>
    </row>
    <row r="153" spans="1:8" ht="15" customHeight="1">
      <c r="A153" s="184">
        <f t="shared" si="4"/>
        <v>150</v>
      </c>
      <c r="B153" s="185">
        <v>2452</v>
      </c>
      <c r="C153" s="186" t="s">
        <v>42</v>
      </c>
      <c r="D153" s="186" t="str">
        <f t="shared" si="5"/>
        <v>SVEUČILIŠTE J. J. STROSSMAYERA U OSIJEKU (2452)</v>
      </c>
      <c r="E153" s="186" t="s">
        <v>44</v>
      </c>
      <c r="F153" s="186" t="s">
        <v>45</v>
      </c>
      <c r="G153" s="187">
        <v>3049779</v>
      </c>
      <c r="H153" s="188" t="s">
        <v>46</v>
      </c>
    </row>
    <row r="154" spans="1:8" ht="24" customHeight="1">
      <c r="A154" s="184">
        <f t="shared" si="4"/>
        <v>151</v>
      </c>
      <c r="B154" s="185">
        <v>50215</v>
      </c>
      <c r="C154" s="186" t="s">
        <v>48</v>
      </c>
      <c r="D154" s="186" t="str">
        <f t="shared" si="5"/>
        <v>SVEUČILIŠTE J. J. STROSSMAYERA U OSIJEKU - AKADEMIJA ZA UMJETNOST I KULTURU U OSIJEKU (50215)</v>
      </c>
      <c r="E154" s="186" t="s">
        <v>49</v>
      </c>
      <c r="F154" s="186" t="s">
        <v>45</v>
      </c>
      <c r="G154" s="187">
        <v>4907361</v>
      </c>
      <c r="H154" s="188" t="s">
        <v>50</v>
      </c>
    </row>
    <row r="155" spans="1:8" ht="15" customHeight="1">
      <c r="A155" s="184">
        <f t="shared" si="4"/>
        <v>152</v>
      </c>
      <c r="B155" s="185">
        <v>2284</v>
      </c>
      <c r="C155" s="186" t="s">
        <v>51</v>
      </c>
      <c r="D155" s="186" t="str">
        <f t="shared" si="5"/>
        <v>SVEUČILIŠTE J. J. STROSSMAYERA U OSIJEKU - EKONOMSKI FAKULTET (2284)</v>
      </c>
      <c r="E155" s="186" t="s">
        <v>52</v>
      </c>
      <c r="F155" s="186" t="s">
        <v>45</v>
      </c>
      <c r="G155" s="187">
        <v>3021645</v>
      </c>
      <c r="H155" s="188" t="s">
        <v>53</v>
      </c>
    </row>
    <row r="156" spans="1:8" ht="24">
      <c r="A156" s="184">
        <f t="shared" si="4"/>
        <v>153</v>
      </c>
      <c r="B156" s="185">
        <v>2268</v>
      </c>
      <c r="C156" s="186" t="s">
        <v>55</v>
      </c>
      <c r="D156" s="186" t="str">
        <f t="shared" si="5"/>
        <v>SVEUČILIŠTE J. J. STROSSMAYERA U OSIJEKU - FAKULTET AGROBIOTEHNIČKIH ZNANOSTI OSIJEK (2268)</v>
      </c>
      <c r="E156" s="186" t="s">
        <v>56</v>
      </c>
      <c r="F156" s="186" t="s">
        <v>45</v>
      </c>
      <c r="G156" s="187">
        <v>3058212</v>
      </c>
      <c r="H156" s="188" t="s">
        <v>57</v>
      </c>
    </row>
    <row r="157" spans="1:8" ht="24">
      <c r="A157" s="184">
        <f t="shared" si="4"/>
        <v>154</v>
      </c>
      <c r="B157" s="185">
        <v>2313</v>
      </c>
      <c r="C157" s="186" t="s">
        <v>59</v>
      </c>
      <c r="D157" s="186" t="str">
        <f t="shared" si="5"/>
        <v>SVEUČILIŠTE J. J. STROSSMAYERA U OSIJEKU - FAKULTET ELEKTROTEHNIKE, RAČUNARSTVA I INFORMACIJSKIH TEHNOLOGIJA OSIJEK (2313)</v>
      </c>
      <c r="E157" s="186" t="s">
        <v>4209</v>
      </c>
      <c r="F157" s="186" t="s">
        <v>45</v>
      </c>
      <c r="G157" s="187">
        <v>3392589</v>
      </c>
      <c r="H157" s="188" t="s">
        <v>61</v>
      </c>
    </row>
    <row r="158" spans="1:8" s="178" customFormat="1" ht="24">
      <c r="A158" s="184">
        <f t="shared" si="4"/>
        <v>155</v>
      </c>
      <c r="B158" s="185">
        <v>49796</v>
      </c>
      <c r="C158" s="186" t="s">
        <v>65</v>
      </c>
      <c r="D158" s="186" t="str">
        <f t="shared" si="5"/>
        <v>SVEUČILIŠTE J. J. STROSSMAYERA U OSIJEKU - FAKULTET ZA DENTALNU MEDICINU I ZDRAVSTVO (49796)</v>
      </c>
      <c r="E158" s="195" t="s">
        <v>66</v>
      </c>
      <c r="F158" s="186" t="s">
        <v>45</v>
      </c>
      <c r="G158" s="187">
        <v>4748875</v>
      </c>
      <c r="H158" s="188" t="s">
        <v>67</v>
      </c>
    </row>
    <row r="159" spans="1:8" ht="24">
      <c r="A159" s="184">
        <f t="shared" si="4"/>
        <v>156</v>
      </c>
      <c r="B159" s="185">
        <v>22486</v>
      </c>
      <c r="C159" s="186" t="s">
        <v>69</v>
      </c>
      <c r="D159" s="186" t="str">
        <f t="shared" si="5"/>
        <v>SVEUČILIŠTE J. J. STROSSMAYERA U OSIJEKU - FAKULTET ZA ODGOJNE I OBRAZOVNE ZNANOSTI (22486)</v>
      </c>
      <c r="E159" s="186" t="s">
        <v>70</v>
      </c>
      <c r="F159" s="186" t="s">
        <v>45</v>
      </c>
      <c r="G159" s="187">
        <v>1404881</v>
      </c>
      <c r="H159" s="188" t="s">
        <v>71</v>
      </c>
    </row>
    <row r="160" spans="1:8" ht="15" customHeight="1">
      <c r="A160" s="184">
        <f t="shared" si="4"/>
        <v>157</v>
      </c>
      <c r="B160" s="185">
        <v>2321</v>
      </c>
      <c r="C160" s="186" t="s">
        <v>73</v>
      </c>
      <c r="D160" s="186" t="str">
        <f t="shared" si="5"/>
        <v>SVEUČILIŠTE J. J. STROSSMAYERA U OSIJEKU - FILOZOFSKI FAKULTET (2321)</v>
      </c>
      <c r="E160" s="186" t="s">
        <v>74</v>
      </c>
      <c r="F160" s="186" t="s">
        <v>45</v>
      </c>
      <c r="G160" s="187">
        <v>3014185</v>
      </c>
      <c r="H160" s="188" t="s">
        <v>75</v>
      </c>
    </row>
    <row r="161" spans="1:8" ht="15" customHeight="1">
      <c r="A161" s="184">
        <f t="shared" si="4"/>
        <v>158</v>
      </c>
      <c r="B161" s="185">
        <v>2508</v>
      </c>
      <c r="C161" s="199" t="s">
        <v>77</v>
      </c>
      <c r="D161" s="186" t="str">
        <f t="shared" si="5"/>
        <v>SVEUČILIŠTE J. J. STROSSMAYERA U OSIJEKU - GRADSKA I SVEUČILIŠNA KNJIŽNICA (2508)</v>
      </c>
      <c r="E161" s="199" t="s">
        <v>78</v>
      </c>
      <c r="F161" s="199" t="s">
        <v>45</v>
      </c>
      <c r="G161" s="200">
        <v>3014347</v>
      </c>
      <c r="H161" s="188" t="s">
        <v>79</v>
      </c>
    </row>
    <row r="162" spans="1:8" ht="24">
      <c r="A162" s="184">
        <f t="shared" si="4"/>
        <v>159</v>
      </c>
      <c r="B162" s="185">
        <v>2250</v>
      </c>
      <c r="C162" s="186" t="s">
        <v>81</v>
      </c>
      <c r="D162" s="186" t="str">
        <f t="shared" si="5"/>
        <v>SVEUČILIŠTE J. J. STROSSMAYERA U OSIJEKU - GRAĐEVINSKI I ARHITEKTONSKI FAKULTET OSIJEK (2250)</v>
      </c>
      <c r="E162" s="186" t="s">
        <v>82</v>
      </c>
      <c r="F162" s="186" t="s">
        <v>45</v>
      </c>
      <c r="G162" s="187">
        <v>3397335</v>
      </c>
      <c r="H162" s="188" t="s">
        <v>83</v>
      </c>
    </row>
    <row r="163" spans="1:8" s="178" customFormat="1" ht="15" customHeight="1">
      <c r="A163" s="184">
        <f t="shared" si="4"/>
        <v>160</v>
      </c>
      <c r="B163" s="185">
        <v>38479</v>
      </c>
      <c r="C163" s="186" t="s">
        <v>4210</v>
      </c>
      <c r="D163" s="186" t="str">
        <f t="shared" si="5"/>
        <v>KATOLIČKI BOGOSLOVNI FAKULTET U ĐAKOVU (38479)</v>
      </c>
      <c r="E163" s="195" t="s">
        <v>86</v>
      </c>
      <c r="F163" s="186" t="s">
        <v>87</v>
      </c>
      <c r="G163" s="187">
        <v>1986490</v>
      </c>
      <c r="H163" s="188" t="s">
        <v>88</v>
      </c>
    </row>
    <row r="164" spans="1:8" ht="15" customHeight="1">
      <c r="A164" s="184">
        <f t="shared" si="4"/>
        <v>161</v>
      </c>
      <c r="B164" s="185">
        <v>51450</v>
      </c>
      <c r="C164" s="186" t="s">
        <v>90</v>
      </c>
      <c r="D164" s="186" t="str">
        <f t="shared" si="5"/>
        <v>SVEUČILIŠTE J. J. STROSSMAYERA U OSIJEKU - KINEZIOLOŠKI FAKULTET OSIJEK (51450)</v>
      </c>
      <c r="E164" s="186" t="s">
        <v>91</v>
      </c>
      <c r="F164" s="186" t="s">
        <v>45</v>
      </c>
      <c r="G164" s="187">
        <v>5302099</v>
      </c>
      <c r="H164" s="188" t="s">
        <v>92</v>
      </c>
    </row>
    <row r="165" spans="1:8" ht="15" customHeight="1">
      <c r="A165" s="184">
        <f t="shared" si="4"/>
        <v>162</v>
      </c>
      <c r="B165" s="185">
        <v>22849</v>
      </c>
      <c r="C165" s="186" t="s">
        <v>94</v>
      </c>
      <c r="D165" s="186" t="str">
        <f t="shared" si="5"/>
        <v>SVEUČILIŠTE J. J. STROSSMAYERA U OSIJEKU - MEDICINSKI FAKULTET (22849)</v>
      </c>
      <c r="E165" s="186" t="s">
        <v>95</v>
      </c>
      <c r="F165" s="186" t="s">
        <v>45</v>
      </c>
      <c r="G165" s="187">
        <v>1388142</v>
      </c>
      <c r="H165" s="188" t="s">
        <v>96</v>
      </c>
    </row>
    <row r="166" spans="1:8" s="178" customFormat="1" ht="15" customHeight="1">
      <c r="A166" s="184">
        <f t="shared" si="4"/>
        <v>163</v>
      </c>
      <c r="B166" s="185">
        <v>2292</v>
      </c>
      <c r="C166" s="186" t="s">
        <v>97</v>
      </c>
      <c r="D166" s="186" t="str">
        <f t="shared" si="5"/>
        <v>SVEUČILIŠTE J. J. STROSSMAYERA U OSIJEKU - PRAVNI FAKULTET (2292)</v>
      </c>
      <c r="E166" s="186" t="s">
        <v>98</v>
      </c>
      <c r="F166" s="186" t="s">
        <v>45</v>
      </c>
      <c r="G166" s="187">
        <v>3014193</v>
      </c>
      <c r="H166" s="188" t="s">
        <v>99</v>
      </c>
    </row>
    <row r="167" spans="1:8" ht="15" customHeight="1">
      <c r="A167" s="184">
        <f t="shared" si="4"/>
        <v>164</v>
      </c>
      <c r="B167" s="185">
        <v>2276</v>
      </c>
      <c r="C167" s="186" t="s">
        <v>101</v>
      </c>
      <c r="D167" s="186" t="str">
        <f t="shared" si="5"/>
        <v>SVEUČILIŠTE J. J. STROSSMAYERA U OSIJEKU - PREHRAMBENO TEHNOLOŠKI FAKULTET (2276)</v>
      </c>
      <c r="E167" s="186" t="s">
        <v>102</v>
      </c>
      <c r="F167" s="186" t="s">
        <v>45</v>
      </c>
      <c r="G167" s="187">
        <v>3058204</v>
      </c>
      <c r="H167" s="188" t="s">
        <v>103</v>
      </c>
    </row>
    <row r="168" spans="1:8" s="178" customFormat="1" ht="15" customHeight="1">
      <c r="A168" s="184">
        <f t="shared" si="4"/>
        <v>165</v>
      </c>
      <c r="B168" s="185">
        <v>42024</v>
      </c>
      <c r="C168" s="186" t="s">
        <v>107</v>
      </c>
      <c r="D168" s="186" t="str">
        <f t="shared" si="5"/>
        <v>SVEUČILIŠTE JURJA DOBRILE U PULI (42024)</v>
      </c>
      <c r="E168" s="186" t="s">
        <v>109</v>
      </c>
      <c r="F168" s="186" t="s">
        <v>110</v>
      </c>
      <c r="G168" s="187">
        <v>2161753</v>
      </c>
      <c r="H168" s="188" t="s">
        <v>111</v>
      </c>
    </row>
    <row r="169" spans="1:8" s="178" customFormat="1" ht="15" customHeight="1">
      <c r="A169" s="184">
        <f t="shared" si="4"/>
        <v>166</v>
      </c>
      <c r="B169" s="185">
        <v>48267</v>
      </c>
      <c r="C169" s="186" t="s">
        <v>113</v>
      </c>
      <c r="D169" s="186" t="str">
        <f t="shared" si="5"/>
        <v>SVEUČILIŠTE SJEVER (48267)</v>
      </c>
      <c r="E169" s="186" t="s">
        <v>114</v>
      </c>
      <c r="F169" s="186" t="s">
        <v>115</v>
      </c>
      <c r="G169" s="187">
        <v>2752298</v>
      </c>
      <c r="H169" s="188" t="s">
        <v>116</v>
      </c>
    </row>
    <row r="170" spans="1:8" s="201" customFormat="1" ht="15" customHeight="1">
      <c r="A170" s="184">
        <f t="shared" si="4"/>
        <v>167</v>
      </c>
      <c r="B170" s="185">
        <v>24141</v>
      </c>
      <c r="C170" s="186" t="s">
        <v>118</v>
      </c>
      <c r="D170" s="186" t="str">
        <f t="shared" si="5"/>
        <v>SVEUČILIŠTE U DUBROVNIKU (24141)</v>
      </c>
      <c r="E170" s="186" t="s">
        <v>119</v>
      </c>
      <c r="F170" s="186" t="s">
        <v>120</v>
      </c>
      <c r="G170" s="187">
        <v>1787578</v>
      </c>
      <c r="H170" s="188" t="s">
        <v>121</v>
      </c>
    </row>
    <row r="171" spans="1:8" s="178" customFormat="1" ht="15" customHeight="1">
      <c r="A171" s="184">
        <f t="shared" si="4"/>
        <v>168</v>
      </c>
      <c r="B171" s="185">
        <v>2444</v>
      </c>
      <c r="C171" s="186" t="s">
        <v>124</v>
      </c>
      <c r="D171" s="186" t="str">
        <f t="shared" si="5"/>
        <v>SVEUČILIŠTE U RIJECI (2444)</v>
      </c>
      <c r="E171" s="186" t="s">
        <v>125</v>
      </c>
      <c r="F171" s="186" t="s">
        <v>126</v>
      </c>
      <c r="G171" s="187">
        <v>3337413</v>
      </c>
      <c r="H171" s="188" t="s">
        <v>127</v>
      </c>
    </row>
    <row r="172" spans="1:8" ht="15" customHeight="1">
      <c r="A172" s="184">
        <f t="shared" si="4"/>
        <v>169</v>
      </c>
      <c r="B172" s="185">
        <v>38454</v>
      </c>
      <c r="C172" s="186" t="s">
        <v>130</v>
      </c>
      <c r="D172" s="186" t="str">
        <f t="shared" si="5"/>
        <v>SVEUČILIŠTE U RIJECI - AKADEMIJA PRIMJENJENIH UMJETNOSTI (38454)</v>
      </c>
      <c r="E172" s="186" t="s">
        <v>131</v>
      </c>
      <c r="F172" s="186" t="s">
        <v>126</v>
      </c>
      <c r="G172" s="193">
        <v>1954253</v>
      </c>
      <c r="H172" s="188" t="s">
        <v>132</v>
      </c>
    </row>
    <row r="173" spans="1:8" ht="15" customHeight="1">
      <c r="A173" s="184">
        <f t="shared" si="4"/>
        <v>170</v>
      </c>
      <c r="B173" s="185">
        <v>2186</v>
      </c>
      <c r="C173" s="186" t="s">
        <v>134</v>
      </c>
      <c r="D173" s="186" t="str">
        <f t="shared" si="5"/>
        <v>SVEUČILIŠTE U RIJECI - EKONOMSKI FAKULTET (2186)</v>
      </c>
      <c r="E173" s="186" t="s">
        <v>135</v>
      </c>
      <c r="F173" s="186" t="s">
        <v>126</v>
      </c>
      <c r="G173" s="187">
        <v>3328627</v>
      </c>
      <c r="H173" s="188" t="s">
        <v>136</v>
      </c>
    </row>
    <row r="174" spans="1:8" ht="15" customHeight="1">
      <c r="A174" s="184">
        <f t="shared" si="4"/>
        <v>171</v>
      </c>
      <c r="B174" s="185">
        <v>2194</v>
      </c>
      <c r="C174" s="186" t="s">
        <v>137</v>
      </c>
      <c r="D174" s="186" t="str">
        <f t="shared" si="5"/>
        <v>SVEUČILIŠTE U RIJECI - FAKULTET ZA MENADŽMENT U TURIZMU I UGOSTITELJSTVU (2194)</v>
      </c>
      <c r="E174" s="186" t="s">
        <v>138</v>
      </c>
      <c r="F174" s="186" t="s">
        <v>139</v>
      </c>
      <c r="G174" s="187">
        <v>3091732</v>
      </c>
      <c r="H174" s="188" t="s">
        <v>140</v>
      </c>
    </row>
    <row r="175" spans="1:8" ht="15" customHeight="1">
      <c r="A175" s="184">
        <f t="shared" si="4"/>
        <v>172</v>
      </c>
      <c r="B175" s="185">
        <v>48023</v>
      </c>
      <c r="C175" s="186" t="s">
        <v>142</v>
      </c>
      <c r="D175" s="186" t="str">
        <f t="shared" si="5"/>
        <v>SVEUČILIŠTE U RIJECI - FAKULTET ZDRAVSTVENIH STUDIJA U RIJECI (48023)</v>
      </c>
      <c r="E175" s="186" t="s">
        <v>143</v>
      </c>
      <c r="F175" s="186" t="s">
        <v>126</v>
      </c>
      <c r="G175" s="189" t="s">
        <v>144</v>
      </c>
      <c r="H175" s="188" t="s">
        <v>145</v>
      </c>
    </row>
    <row r="176" spans="1:8" s="178" customFormat="1" ht="15" customHeight="1">
      <c r="A176" s="184">
        <f t="shared" si="4"/>
        <v>173</v>
      </c>
      <c r="B176" s="185">
        <v>22857</v>
      </c>
      <c r="C176" s="186" t="s">
        <v>146</v>
      </c>
      <c r="D176" s="186" t="str">
        <f t="shared" si="5"/>
        <v>SVEUČILIŠTE U RIJECI - FILOZOFSKI FAKULTET (22857)</v>
      </c>
      <c r="E176" s="186" t="s">
        <v>147</v>
      </c>
      <c r="F176" s="186" t="s">
        <v>126</v>
      </c>
      <c r="G176" s="187">
        <v>3368491</v>
      </c>
      <c r="H176" s="188" t="s">
        <v>148</v>
      </c>
    </row>
    <row r="177" spans="1:8" ht="15" customHeight="1">
      <c r="A177" s="184">
        <f t="shared" si="4"/>
        <v>174</v>
      </c>
      <c r="B177" s="185">
        <v>2160</v>
      </c>
      <c r="C177" s="186" t="s">
        <v>149</v>
      </c>
      <c r="D177" s="186" t="str">
        <f t="shared" si="5"/>
        <v>SVEUČILIŠTE U RIJECI - GRAĐEVINSKI FAKULTET (2160)</v>
      </c>
      <c r="E177" s="186" t="s">
        <v>150</v>
      </c>
      <c r="F177" s="186" t="s">
        <v>126</v>
      </c>
      <c r="G177" s="187">
        <v>3395855</v>
      </c>
      <c r="H177" s="188" t="s">
        <v>151</v>
      </c>
    </row>
    <row r="178" spans="1:8" ht="15" customHeight="1">
      <c r="A178" s="184">
        <f t="shared" si="4"/>
        <v>175</v>
      </c>
      <c r="B178" s="185">
        <v>2225</v>
      </c>
      <c r="C178" s="186" t="s">
        <v>152</v>
      </c>
      <c r="D178" s="186" t="str">
        <f t="shared" si="5"/>
        <v>SVEUČILIŠTE U RIJECI - MEDICINSKI FAKULTET (2225)</v>
      </c>
      <c r="E178" s="186" t="s">
        <v>153</v>
      </c>
      <c r="F178" s="186" t="s">
        <v>126</v>
      </c>
      <c r="G178" s="187">
        <v>3328554</v>
      </c>
      <c r="H178" s="188" t="s">
        <v>154</v>
      </c>
    </row>
    <row r="179" spans="1:8" s="178" customFormat="1" ht="15" customHeight="1">
      <c r="A179" s="184">
        <f t="shared" si="4"/>
        <v>176</v>
      </c>
      <c r="B179" s="185">
        <v>22568</v>
      </c>
      <c r="C179" s="186" t="s">
        <v>4211</v>
      </c>
      <c r="D179" s="186" t="str">
        <f t="shared" si="5"/>
        <v>SVEUČILIŠTE U RIJECI, POMORSKI FAKULTET (22568)</v>
      </c>
      <c r="E179" s="186" t="s">
        <v>156</v>
      </c>
      <c r="F179" s="186" t="s">
        <v>126</v>
      </c>
      <c r="G179" s="187">
        <v>1580485</v>
      </c>
      <c r="H179" s="188" t="s">
        <v>157</v>
      </c>
    </row>
    <row r="180" spans="1:8" ht="15" customHeight="1">
      <c r="A180" s="184">
        <f t="shared" si="4"/>
        <v>177</v>
      </c>
      <c r="B180" s="185">
        <v>2217</v>
      </c>
      <c r="C180" s="186" t="s">
        <v>158</v>
      </c>
      <c r="D180" s="186" t="str">
        <f t="shared" si="5"/>
        <v>SVEUČILIŠTE U RIJECI - PRAVNI FAKULTET (2217)</v>
      </c>
      <c r="E180" s="186" t="s">
        <v>159</v>
      </c>
      <c r="F180" s="186" t="s">
        <v>126</v>
      </c>
      <c r="G180" s="187">
        <v>3328562</v>
      </c>
      <c r="H180" s="188" t="s">
        <v>160</v>
      </c>
    </row>
    <row r="181" spans="1:8" ht="15" customHeight="1">
      <c r="A181" s="184">
        <f t="shared" si="4"/>
        <v>178</v>
      </c>
      <c r="B181" s="185">
        <v>2493</v>
      </c>
      <c r="C181" s="186" t="s">
        <v>161</v>
      </c>
      <c r="D181" s="186" t="str">
        <f t="shared" si="5"/>
        <v>SVEUČILIŠTE U RIJECI - SVEUČILIŠNA KNJIŽNICA (2493)</v>
      </c>
      <c r="E181" s="186" t="s">
        <v>162</v>
      </c>
      <c r="F181" s="186" t="s">
        <v>126</v>
      </c>
      <c r="G181" s="187">
        <v>3328686</v>
      </c>
      <c r="H181" s="188" t="s">
        <v>163</v>
      </c>
    </row>
    <row r="182" spans="1:8" ht="15" customHeight="1">
      <c r="A182" s="184">
        <f t="shared" si="4"/>
        <v>179</v>
      </c>
      <c r="B182" s="185">
        <v>2151</v>
      </c>
      <c r="C182" s="186" t="s">
        <v>164</v>
      </c>
      <c r="D182" s="186" t="str">
        <f t="shared" si="5"/>
        <v>SVEUČILIŠTE U RIJECI - TEHNIČKI FAKULTET (2151)</v>
      </c>
      <c r="E182" s="186" t="s">
        <v>165</v>
      </c>
      <c r="F182" s="186" t="s">
        <v>126</v>
      </c>
      <c r="G182" s="187">
        <v>3334317</v>
      </c>
      <c r="H182" s="188" t="s">
        <v>166</v>
      </c>
    </row>
    <row r="183" spans="1:8" ht="15" customHeight="1">
      <c r="A183" s="184">
        <f t="shared" si="4"/>
        <v>180</v>
      </c>
      <c r="B183" s="185">
        <v>40947</v>
      </c>
      <c r="C183" s="186" t="s">
        <v>167</v>
      </c>
      <c r="D183" s="186" t="str">
        <f t="shared" si="5"/>
        <v>SVEUČILIŠTE U RIJECI - UČITELJSKI FAKULTET (40947)</v>
      </c>
      <c r="E183" s="186" t="s">
        <v>168</v>
      </c>
      <c r="F183" s="186" t="s">
        <v>126</v>
      </c>
      <c r="G183" s="187">
        <v>2116073</v>
      </c>
      <c r="H183" s="188" t="s">
        <v>169</v>
      </c>
    </row>
    <row r="184" spans="1:8" s="178" customFormat="1" ht="15" customHeight="1">
      <c r="A184" s="184">
        <f t="shared" si="4"/>
        <v>181</v>
      </c>
      <c r="B184" s="185">
        <v>51360</v>
      </c>
      <c r="C184" s="186" t="s">
        <v>170</v>
      </c>
      <c r="D184" s="186" t="str">
        <f t="shared" si="5"/>
        <v>SVEUČILIŠTE U SLAVONSKOM BRODU (51360)</v>
      </c>
      <c r="E184" s="195" t="s">
        <v>171</v>
      </c>
      <c r="F184" s="186" t="s">
        <v>172</v>
      </c>
      <c r="G184" s="187">
        <v>5290538</v>
      </c>
      <c r="H184" s="188" t="s">
        <v>173</v>
      </c>
    </row>
    <row r="185" spans="1:8" ht="15" customHeight="1">
      <c r="A185" s="184">
        <f t="shared" si="4"/>
        <v>182</v>
      </c>
      <c r="B185" s="185">
        <v>2469</v>
      </c>
      <c r="C185" s="186" t="s">
        <v>174</v>
      </c>
      <c r="D185" s="186" t="str">
        <f t="shared" si="5"/>
        <v>SVEUČILIŠTE U SPLITU (2469)</v>
      </c>
      <c r="E185" s="186" t="s">
        <v>175</v>
      </c>
      <c r="F185" s="186" t="s">
        <v>176</v>
      </c>
      <c r="G185" s="187">
        <v>3129306</v>
      </c>
      <c r="H185" s="188" t="s">
        <v>177</v>
      </c>
    </row>
    <row r="186" spans="1:8" ht="15" customHeight="1">
      <c r="A186" s="184">
        <f t="shared" si="4"/>
        <v>183</v>
      </c>
      <c r="B186" s="185">
        <v>2372</v>
      </c>
      <c r="C186" s="186" t="s">
        <v>178</v>
      </c>
      <c r="D186" s="186" t="str">
        <f t="shared" si="5"/>
        <v>SVEUČILIŠTE U SPLITU - EKONOMSKI FAKULTET (2372)</v>
      </c>
      <c r="E186" s="186" t="s">
        <v>179</v>
      </c>
      <c r="F186" s="186" t="s">
        <v>176</v>
      </c>
      <c r="G186" s="187">
        <v>3119076</v>
      </c>
      <c r="H186" s="188" t="s">
        <v>180</v>
      </c>
    </row>
    <row r="187" spans="1:8" ht="15" customHeight="1">
      <c r="A187" s="184">
        <f t="shared" ref="A187:A250" si="6">+A186+1</f>
        <v>184</v>
      </c>
      <c r="B187" s="185">
        <v>2330</v>
      </c>
      <c r="C187" s="186" t="s">
        <v>181</v>
      </c>
      <c r="D187" s="186" t="str">
        <f t="shared" si="5"/>
        <v>SVEUČILIŠTE U SPLITU - FAKULTET ELEKTROTEHNIKE, STROJARSTVA I BRODOGRADNJE (2330)</v>
      </c>
      <c r="E187" s="186" t="s">
        <v>182</v>
      </c>
      <c r="F187" s="186" t="s">
        <v>176</v>
      </c>
      <c r="G187" s="187">
        <v>3118339</v>
      </c>
      <c r="H187" s="188" t="s">
        <v>183</v>
      </c>
    </row>
    <row r="188" spans="1:8" ht="15" customHeight="1">
      <c r="A188" s="184">
        <f t="shared" si="6"/>
        <v>185</v>
      </c>
      <c r="B188" s="185">
        <v>2348</v>
      </c>
      <c r="C188" s="186" t="s">
        <v>184</v>
      </c>
      <c r="D188" s="186" t="str">
        <f t="shared" si="5"/>
        <v>SVEUČILIŠTE U SPLITU - FAKULTET GRAĐEVINARSTVA, ARHITEKTURE I GEODEZIJE (2348)</v>
      </c>
      <c r="E188" s="186" t="s">
        <v>185</v>
      </c>
      <c r="F188" s="186" t="s">
        <v>176</v>
      </c>
      <c r="G188" s="187">
        <v>3149463</v>
      </c>
      <c r="H188" s="188" t="s">
        <v>186</v>
      </c>
    </row>
    <row r="189" spans="1:8" ht="15" customHeight="1">
      <c r="A189" s="184">
        <f t="shared" si="6"/>
        <v>186</v>
      </c>
      <c r="B189" s="185">
        <v>22435</v>
      </c>
      <c r="C189" s="186" t="s">
        <v>187</v>
      </c>
      <c r="D189" s="186" t="str">
        <f t="shared" si="5"/>
        <v>SVEUČILIŠTE U SPLITU - FILOZOFSKI FAKULTET (22435)</v>
      </c>
      <c r="E189" s="186" t="s">
        <v>175</v>
      </c>
      <c r="F189" s="186" t="s">
        <v>176</v>
      </c>
      <c r="G189" s="187">
        <v>1413236</v>
      </c>
      <c r="H189" s="188" t="s">
        <v>188</v>
      </c>
    </row>
    <row r="190" spans="1:8" ht="15" customHeight="1">
      <c r="A190" s="184">
        <f t="shared" si="6"/>
        <v>187</v>
      </c>
      <c r="B190" s="185">
        <v>23368</v>
      </c>
      <c r="C190" s="186" t="s">
        <v>189</v>
      </c>
      <c r="D190" s="186" t="str">
        <f t="shared" si="5"/>
        <v>SVEUČILIŠTE U SPLITU - KATOLIČKI BOGOSLOVNI FAKULTET (23368)</v>
      </c>
      <c r="E190" s="186" t="s">
        <v>190</v>
      </c>
      <c r="F190" s="186" t="s">
        <v>176</v>
      </c>
      <c r="G190" s="193">
        <v>1465643</v>
      </c>
      <c r="H190" s="188">
        <v>36149548625</v>
      </c>
    </row>
    <row r="191" spans="1:8" ht="15" customHeight="1">
      <c r="A191" s="184">
        <f t="shared" si="6"/>
        <v>188</v>
      </c>
      <c r="B191" s="185">
        <v>2356</v>
      </c>
      <c r="C191" s="186" t="s">
        <v>191</v>
      </c>
      <c r="D191" s="186" t="str">
        <f t="shared" si="5"/>
        <v>SVEUČILIŠTE U SPLITU - KEMIJSKO-TEHNOLOŠKI FAKULTET (2356)</v>
      </c>
      <c r="E191" s="186" t="s">
        <v>192</v>
      </c>
      <c r="F191" s="186" t="s">
        <v>176</v>
      </c>
      <c r="G191" s="187">
        <v>3119068</v>
      </c>
      <c r="H191" s="188" t="s">
        <v>193</v>
      </c>
    </row>
    <row r="192" spans="1:8" ht="15" customHeight="1">
      <c r="A192" s="184">
        <f t="shared" si="6"/>
        <v>189</v>
      </c>
      <c r="B192" s="185">
        <v>43773</v>
      </c>
      <c r="C192" s="186" t="s">
        <v>194</v>
      </c>
      <c r="D192" s="186" t="str">
        <f t="shared" si="5"/>
        <v>SVEUČILIŠTE U SPLITU - KINEZIOLOŠKI FAKULTET (43773)</v>
      </c>
      <c r="E192" s="186" t="s">
        <v>195</v>
      </c>
      <c r="F192" s="186" t="s">
        <v>176</v>
      </c>
      <c r="G192" s="193">
        <v>2393255</v>
      </c>
      <c r="H192" s="188" t="s">
        <v>196</v>
      </c>
    </row>
    <row r="193" spans="1:8" ht="15" customHeight="1">
      <c r="A193" s="184">
        <f t="shared" si="6"/>
        <v>190</v>
      </c>
      <c r="B193" s="185">
        <v>22451</v>
      </c>
      <c r="C193" s="186" t="s">
        <v>197</v>
      </c>
      <c r="D193" s="186" t="str">
        <f t="shared" si="5"/>
        <v>SVEUČILIŠTE U SPLITU - MEDICINSKI FAKULTET (22451)</v>
      </c>
      <c r="E193" s="186" t="s">
        <v>198</v>
      </c>
      <c r="F193" s="186" t="s">
        <v>176</v>
      </c>
      <c r="G193" s="187">
        <v>1315366</v>
      </c>
      <c r="H193" s="188" t="s">
        <v>199</v>
      </c>
    </row>
    <row r="194" spans="1:8" ht="15" customHeight="1">
      <c r="A194" s="184">
        <f t="shared" si="6"/>
        <v>191</v>
      </c>
      <c r="B194" s="185">
        <v>22460</v>
      </c>
      <c r="C194" s="186" t="s">
        <v>200</v>
      </c>
      <c r="D194" s="186" t="str">
        <f t="shared" si="5"/>
        <v>SVEUČILIŠTE U SPLITU - POMORSKI FAKULTET (22460)</v>
      </c>
      <c r="E194" s="186" t="s">
        <v>201</v>
      </c>
      <c r="F194" s="186" t="s">
        <v>176</v>
      </c>
      <c r="G194" s="187">
        <v>1406043</v>
      </c>
      <c r="H194" s="188" t="s">
        <v>202</v>
      </c>
    </row>
    <row r="195" spans="1:8" ht="15" customHeight="1">
      <c r="A195" s="184">
        <f t="shared" si="6"/>
        <v>192</v>
      </c>
      <c r="B195" s="185">
        <v>2397</v>
      </c>
      <c r="C195" s="186" t="s">
        <v>203</v>
      </c>
      <c r="D195" s="186" t="str">
        <f t="shared" si="5"/>
        <v>SVEUČILIŠTE U SPLITU - PRAVNI FAKULTET (2397)</v>
      </c>
      <c r="E195" s="186" t="s">
        <v>204</v>
      </c>
      <c r="F195" s="186" t="s">
        <v>176</v>
      </c>
      <c r="G195" s="187">
        <v>3118347</v>
      </c>
      <c r="H195" s="188" t="s">
        <v>205</v>
      </c>
    </row>
    <row r="196" spans="1:8" ht="15" customHeight="1">
      <c r="A196" s="184">
        <f t="shared" si="6"/>
        <v>193</v>
      </c>
      <c r="B196" s="185">
        <v>2410</v>
      </c>
      <c r="C196" s="186" t="s">
        <v>206</v>
      </c>
      <c r="D196" s="186" t="str">
        <f t="shared" ref="D196:D259" si="7">C196&amp;" ("&amp;B196&amp;")"</f>
        <v>SVEUČILIŠTE U SPLITU - PRIRODOSLOVNO - MATEMATIČKI FAKULTET (2410)</v>
      </c>
      <c r="E196" s="186" t="s">
        <v>207</v>
      </c>
      <c r="F196" s="186" t="s">
        <v>176</v>
      </c>
      <c r="G196" s="187">
        <v>3199622</v>
      </c>
      <c r="H196" s="188" t="s">
        <v>208</v>
      </c>
    </row>
    <row r="197" spans="1:8" ht="15" customHeight="1">
      <c r="A197" s="184">
        <f t="shared" si="6"/>
        <v>194</v>
      </c>
      <c r="B197" s="185">
        <v>2524</v>
      </c>
      <c r="C197" s="186" t="s">
        <v>210</v>
      </c>
      <c r="D197" s="186" t="str">
        <f t="shared" si="7"/>
        <v>SVEUČILIŠTE U SPLITU - SVEUČILIŠNA KNJIŽNICA (2524)</v>
      </c>
      <c r="E197" s="186" t="s">
        <v>211</v>
      </c>
      <c r="F197" s="186" t="s">
        <v>176</v>
      </c>
      <c r="G197" s="187">
        <v>3118436</v>
      </c>
      <c r="H197" s="188" t="s">
        <v>212</v>
      </c>
    </row>
    <row r="198" spans="1:8" ht="15" customHeight="1">
      <c r="A198" s="184">
        <f t="shared" si="6"/>
        <v>195</v>
      </c>
      <c r="B198" s="185">
        <v>22478</v>
      </c>
      <c r="C198" s="186" t="s">
        <v>213</v>
      </c>
      <c r="D198" s="186" t="str">
        <f t="shared" si="7"/>
        <v>SVEUČILIŠTE U SPLITU - UMJETNIČKA AKADEMIJA (22478)</v>
      </c>
      <c r="E198" s="186" t="s">
        <v>214</v>
      </c>
      <c r="F198" s="186" t="s">
        <v>176</v>
      </c>
      <c r="G198" s="187">
        <v>1321358</v>
      </c>
      <c r="H198" s="188" t="s">
        <v>215</v>
      </c>
    </row>
    <row r="199" spans="1:8" ht="15" customHeight="1">
      <c r="A199" s="184">
        <f t="shared" si="6"/>
        <v>196</v>
      </c>
      <c r="B199" s="185">
        <v>23815</v>
      </c>
      <c r="C199" s="186" t="s">
        <v>216</v>
      </c>
      <c r="D199" s="186" t="str">
        <f t="shared" si="7"/>
        <v>SVEUČILIŠTE U ZADRU (23815)</v>
      </c>
      <c r="E199" s="186" t="s">
        <v>217</v>
      </c>
      <c r="F199" s="186" t="s">
        <v>218</v>
      </c>
      <c r="G199" s="187">
        <v>1695525</v>
      </c>
      <c r="H199" s="188" t="s">
        <v>219</v>
      </c>
    </row>
    <row r="200" spans="1:8" ht="15" customHeight="1">
      <c r="A200" s="184">
        <f t="shared" si="6"/>
        <v>197</v>
      </c>
      <c r="B200" s="185">
        <v>2436</v>
      </c>
      <c r="C200" s="186" t="s">
        <v>30</v>
      </c>
      <c r="D200" s="186" t="str">
        <f t="shared" si="7"/>
        <v>SVEUČILIŠTE U ZAGREBU (2436)</v>
      </c>
      <c r="E200" s="186" t="s">
        <v>220</v>
      </c>
      <c r="F200" s="186" t="s">
        <v>25</v>
      </c>
      <c r="G200" s="187">
        <v>3211592</v>
      </c>
      <c r="H200" s="188" t="s">
        <v>221</v>
      </c>
    </row>
    <row r="201" spans="1:8" ht="15" customHeight="1">
      <c r="A201" s="184">
        <f t="shared" si="6"/>
        <v>198</v>
      </c>
      <c r="B201" s="185">
        <v>1923</v>
      </c>
      <c r="C201" s="186" t="s">
        <v>222</v>
      </c>
      <c r="D201" s="186" t="str">
        <f t="shared" si="7"/>
        <v>SVEUČILIŠTE U ZAGREBU - AGRONOMSKI FAKULTET (1923)</v>
      </c>
      <c r="E201" s="186" t="s">
        <v>223</v>
      </c>
      <c r="F201" s="186" t="s">
        <v>25</v>
      </c>
      <c r="G201" s="187">
        <v>3283097</v>
      </c>
      <c r="H201" s="188" t="s">
        <v>224</v>
      </c>
    </row>
    <row r="202" spans="1:8" ht="15" customHeight="1">
      <c r="A202" s="184">
        <f t="shared" si="6"/>
        <v>199</v>
      </c>
      <c r="B202" s="185">
        <v>1974</v>
      </c>
      <c r="C202" s="186" t="s">
        <v>226</v>
      </c>
      <c r="D202" s="186" t="str">
        <f t="shared" si="7"/>
        <v>SVEUČILIŠTE U ZAGREBU - AKADEMIJA DRAMSKE UMJETNOSTI (1974)</v>
      </c>
      <c r="E202" s="186" t="s">
        <v>227</v>
      </c>
      <c r="F202" s="186" t="s">
        <v>25</v>
      </c>
      <c r="G202" s="187">
        <v>3205029</v>
      </c>
      <c r="H202" s="188" t="s">
        <v>228</v>
      </c>
    </row>
    <row r="203" spans="1:8" ht="15" customHeight="1">
      <c r="A203" s="184">
        <f t="shared" si="6"/>
        <v>200</v>
      </c>
      <c r="B203" s="185">
        <v>1982</v>
      </c>
      <c r="C203" s="186" t="s">
        <v>232</v>
      </c>
      <c r="D203" s="186" t="str">
        <f t="shared" si="7"/>
        <v>SVEUČILIŠTE U ZAGREBU - AKADEMIJA LIKOVNIH UMJETNOSTI (1982)</v>
      </c>
      <c r="E203" s="186" t="s">
        <v>233</v>
      </c>
      <c r="F203" s="186" t="s">
        <v>25</v>
      </c>
      <c r="G203" s="187">
        <v>3207919</v>
      </c>
      <c r="H203" s="188" t="s">
        <v>234</v>
      </c>
    </row>
    <row r="204" spans="1:8" ht="15" customHeight="1">
      <c r="A204" s="184">
        <f t="shared" si="6"/>
        <v>201</v>
      </c>
      <c r="B204" s="185">
        <v>1861</v>
      </c>
      <c r="C204" s="186" t="s">
        <v>235</v>
      </c>
      <c r="D204" s="186" t="str">
        <f t="shared" si="7"/>
        <v>SVEUČILIŠTE U ZAGREBU - ARHITEKTONSKI FAKULTET  (1861)</v>
      </c>
      <c r="E204" s="186" t="s">
        <v>236</v>
      </c>
      <c r="F204" s="186" t="s">
        <v>25</v>
      </c>
      <c r="G204" s="187">
        <v>3204952</v>
      </c>
      <c r="H204" s="188" t="s">
        <v>237</v>
      </c>
    </row>
    <row r="205" spans="1:8" ht="15" customHeight="1">
      <c r="A205" s="184">
        <f t="shared" si="6"/>
        <v>202</v>
      </c>
      <c r="B205" s="185">
        <v>1966</v>
      </c>
      <c r="C205" s="186" t="s">
        <v>238</v>
      </c>
      <c r="D205" s="186" t="str">
        <f t="shared" si="7"/>
        <v>SVEUČILIŠTE U ZAGREBU - EDUKACIJSKO-REHABILITACIJSKI FAKULTET  (1966)</v>
      </c>
      <c r="E205" s="186" t="s">
        <v>239</v>
      </c>
      <c r="F205" s="186" t="s">
        <v>25</v>
      </c>
      <c r="G205" s="187">
        <v>3219780</v>
      </c>
      <c r="H205" s="188" t="s">
        <v>240</v>
      </c>
    </row>
    <row r="206" spans="1:8" ht="15" customHeight="1">
      <c r="A206" s="184">
        <f t="shared" si="6"/>
        <v>203</v>
      </c>
      <c r="B206" s="185">
        <v>1931</v>
      </c>
      <c r="C206" s="186" t="s">
        <v>241</v>
      </c>
      <c r="D206" s="186" t="str">
        <f t="shared" si="7"/>
        <v>SVEUČILIŠTE U ZAGREBU - EKONOMSKI FAKULTET (1931)</v>
      </c>
      <c r="E206" s="186" t="s">
        <v>4212</v>
      </c>
      <c r="F206" s="186" t="s">
        <v>25</v>
      </c>
      <c r="G206" s="187">
        <v>3272079</v>
      </c>
      <c r="H206" s="188" t="s">
        <v>243</v>
      </c>
    </row>
    <row r="207" spans="1:8" ht="15" customHeight="1">
      <c r="A207" s="184">
        <f t="shared" si="6"/>
        <v>204</v>
      </c>
      <c r="B207" s="185">
        <v>1757</v>
      </c>
      <c r="C207" s="186" t="s">
        <v>244</v>
      </c>
      <c r="D207" s="186" t="str">
        <f t="shared" si="7"/>
        <v>SVEUČILIŠTE U ZAGREBU - FAKULTET ELEKTROTEHNIKE I RAČUNARSTVA (1757)</v>
      </c>
      <c r="E207" s="186" t="s">
        <v>245</v>
      </c>
      <c r="F207" s="186" t="s">
        <v>25</v>
      </c>
      <c r="G207" s="187">
        <v>3276643</v>
      </c>
      <c r="H207" s="188" t="s">
        <v>246</v>
      </c>
    </row>
    <row r="208" spans="1:8" ht="15" customHeight="1">
      <c r="A208" s="184">
        <f t="shared" si="6"/>
        <v>205</v>
      </c>
      <c r="B208" s="185">
        <v>6154</v>
      </c>
      <c r="C208" s="186" t="s">
        <v>247</v>
      </c>
      <c r="D208" s="186" t="str">
        <f t="shared" si="7"/>
        <v>SVEUČILIŠTE U ZAGREBU - FAKULTET FILOZOFIJE I RELIGIJSKIH ZNANOSTI (6154)</v>
      </c>
      <c r="E208" s="186" t="s">
        <v>248</v>
      </c>
      <c r="F208" s="186" t="s">
        <v>25</v>
      </c>
      <c r="G208" s="187">
        <v>1235664</v>
      </c>
      <c r="H208" s="188" t="s">
        <v>249</v>
      </c>
    </row>
    <row r="209" spans="1:8" ht="15" customHeight="1">
      <c r="A209" s="184">
        <f t="shared" si="6"/>
        <v>206</v>
      </c>
      <c r="B209" s="185">
        <v>51191</v>
      </c>
      <c r="C209" s="186" t="s">
        <v>250</v>
      </c>
      <c r="D209" s="186" t="str">
        <f t="shared" si="7"/>
        <v>SVEUČILIŠTE U ZAGREBU - FAKULTET HRVATSKIH STUDIJA (51191)</v>
      </c>
      <c r="E209" s="186" t="s">
        <v>251</v>
      </c>
      <c r="F209" s="186" t="s">
        <v>25</v>
      </c>
      <c r="G209" s="187">
        <v>5214068</v>
      </c>
      <c r="H209" s="188" t="s">
        <v>252</v>
      </c>
    </row>
    <row r="210" spans="1:8" ht="15" customHeight="1">
      <c r="A210" s="184">
        <f t="shared" si="6"/>
        <v>207</v>
      </c>
      <c r="B210" s="185">
        <v>1790</v>
      </c>
      <c r="C210" s="186" t="s">
        <v>253</v>
      </c>
      <c r="D210" s="186" t="str">
        <f t="shared" si="7"/>
        <v>SVEUČILIŠTE U ZAGREBU - FAKULTET KEMIJSKOG INŽENJERSTVA I TEHNOLOGIJE (1790)</v>
      </c>
      <c r="E210" s="186" t="s">
        <v>254</v>
      </c>
      <c r="F210" s="186" t="s">
        <v>25</v>
      </c>
      <c r="G210" s="187">
        <v>3250270</v>
      </c>
      <c r="H210" s="188" t="s">
        <v>255</v>
      </c>
    </row>
    <row r="211" spans="1:8" ht="15" customHeight="1">
      <c r="A211" s="184">
        <f t="shared" si="6"/>
        <v>208</v>
      </c>
      <c r="B211" s="185">
        <v>1907</v>
      </c>
      <c r="C211" s="186" t="s">
        <v>256</v>
      </c>
      <c r="D211" s="186" t="str">
        <f t="shared" si="7"/>
        <v>SVEUČILIŠTE U ZAGREBU - FAKULTET POLITIČKIH ZNANOSTI (1907)</v>
      </c>
      <c r="E211" s="186" t="s">
        <v>257</v>
      </c>
      <c r="F211" s="186" t="s">
        <v>25</v>
      </c>
      <c r="G211" s="187">
        <v>3270262</v>
      </c>
      <c r="H211" s="188" t="s">
        <v>258</v>
      </c>
    </row>
    <row r="212" spans="1:8" ht="15" customHeight="1">
      <c r="A212" s="184">
        <f t="shared" si="6"/>
        <v>209</v>
      </c>
      <c r="B212" s="185">
        <v>1812</v>
      </c>
      <c r="C212" s="186" t="s">
        <v>259</v>
      </c>
      <c r="D212" s="186" t="str">
        <f t="shared" si="7"/>
        <v>SVEUČILIŠTE U ZAGREBU - FAKULTET PROMETNIH ZNANOSTI (1812)</v>
      </c>
      <c r="E212" s="186" t="s">
        <v>260</v>
      </c>
      <c r="F212" s="186" t="s">
        <v>25</v>
      </c>
      <c r="G212" s="187">
        <v>3260771</v>
      </c>
      <c r="H212" s="188" t="s">
        <v>261</v>
      </c>
    </row>
    <row r="213" spans="1:8" ht="15" customHeight="1">
      <c r="A213" s="184">
        <f t="shared" si="6"/>
        <v>210</v>
      </c>
      <c r="B213" s="185">
        <v>1829</v>
      </c>
      <c r="C213" s="186" t="s">
        <v>262</v>
      </c>
      <c r="D213" s="186" t="str">
        <f t="shared" si="7"/>
        <v>SVEUČILIŠTE U ZAGREBU - FAKULTET STROJARSTVA I BRODOGRADNJE (1829)</v>
      </c>
      <c r="E213" s="186" t="s">
        <v>263</v>
      </c>
      <c r="F213" s="186" t="s">
        <v>25</v>
      </c>
      <c r="G213" s="187">
        <v>3276546</v>
      </c>
      <c r="H213" s="188" t="s">
        <v>264</v>
      </c>
    </row>
    <row r="214" spans="1:8" ht="15" customHeight="1">
      <c r="A214" s="184">
        <f t="shared" si="6"/>
        <v>211</v>
      </c>
      <c r="B214" s="185">
        <v>2014</v>
      </c>
      <c r="C214" s="186" t="s">
        <v>265</v>
      </c>
      <c r="D214" s="186" t="str">
        <f t="shared" si="7"/>
        <v>SVEUČILIŠTE U ZAGREBU - FARMACEUTSKO-BIOKEMIJSKI FAKULTET  (2014)</v>
      </c>
      <c r="E214" s="186" t="s">
        <v>266</v>
      </c>
      <c r="F214" s="186" t="s">
        <v>25</v>
      </c>
      <c r="G214" s="187">
        <v>3205037</v>
      </c>
      <c r="H214" s="188" t="s">
        <v>267</v>
      </c>
    </row>
    <row r="215" spans="1:8" ht="15" customHeight="1">
      <c r="A215" s="184">
        <f t="shared" si="6"/>
        <v>212</v>
      </c>
      <c r="B215" s="185">
        <v>1958</v>
      </c>
      <c r="C215" s="186" t="s">
        <v>268</v>
      </c>
      <c r="D215" s="186" t="str">
        <f t="shared" si="7"/>
        <v>SVEUČILIŠTE U ZAGREBU - FILOZOFSKI FAKULTET (1958)</v>
      </c>
      <c r="E215" s="186" t="s">
        <v>269</v>
      </c>
      <c r="F215" s="186" t="s">
        <v>25</v>
      </c>
      <c r="G215" s="187">
        <v>3254852</v>
      </c>
      <c r="H215" s="188" t="s">
        <v>270</v>
      </c>
    </row>
    <row r="216" spans="1:8" ht="15" customHeight="1">
      <c r="A216" s="184">
        <f t="shared" si="6"/>
        <v>213</v>
      </c>
      <c r="B216" s="185">
        <v>1853</v>
      </c>
      <c r="C216" s="186" t="s">
        <v>271</v>
      </c>
      <c r="D216" s="186" t="str">
        <f t="shared" si="7"/>
        <v>SVEUČILIŠTE U ZAGREBU - GEODETSKI FAKULTET (1853)</v>
      </c>
      <c r="E216" s="186" t="s">
        <v>4213</v>
      </c>
      <c r="F216" s="186" t="s">
        <v>25</v>
      </c>
      <c r="G216" s="187">
        <v>3204987</v>
      </c>
      <c r="H216" s="188" t="s">
        <v>273</v>
      </c>
    </row>
    <row r="217" spans="1:8" ht="15" customHeight="1">
      <c r="A217" s="184">
        <f t="shared" si="6"/>
        <v>214</v>
      </c>
      <c r="B217" s="185">
        <v>2102</v>
      </c>
      <c r="C217" s="186" t="s">
        <v>274</v>
      </c>
      <c r="D217" s="186" t="str">
        <f t="shared" si="7"/>
        <v>SVEUČILIŠTE U ZAGREBU - GEOTEHNIČKI FAKULTET (2102)</v>
      </c>
      <c r="E217" s="186" t="s">
        <v>275</v>
      </c>
      <c r="F217" s="186" t="s">
        <v>32</v>
      </c>
      <c r="G217" s="187">
        <v>3042316</v>
      </c>
      <c r="H217" s="188" t="s">
        <v>276</v>
      </c>
    </row>
    <row r="218" spans="1:8" ht="15" customHeight="1">
      <c r="A218" s="184">
        <f t="shared" si="6"/>
        <v>215</v>
      </c>
      <c r="B218" s="185">
        <v>1837</v>
      </c>
      <c r="C218" s="186" t="s">
        <v>277</v>
      </c>
      <c r="D218" s="186" t="str">
        <f t="shared" si="7"/>
        <v>SVEUČILIŠTE U ZAGREBU - GRAĐEVINSKI FAKULTET (1837)</v>
      </c>
      <c r="E218" s="186" t="s">
        <v>278</v>
      </c>
      <c r="F218" s="186" t="s">
        <v>25</v>
      </c>
      <c r="G218" s="187">
        <v>3227120</v>
      </c>
      <c r="H218" s="188" t="s">
        <v>279</v>
      </c>
    </row>
    <row r="219" spans="1:8" ht="15" customHeight="1">
      <c r="A219" s="184">
        <f t="shared" si="6"/>
        <v>216</v>
      </c>
      <c r="B219" s="185">
        <v>2080</v>
      </c>
      <c r="C219" s="186" t="s">
        <v>280</v>
      </c>
      <c r="D219" s="186" t="str">
        <f t="shared" si="7"/>
        <v>SVEUČILIŠTE U ZAGREBU - GRAFIČKI FAKULTET (2080)</v>
      </c>
      <c r="E219" s="186" t="s">
        <v>281</v>
      </c>
      <c r="F219" s="186" t="s">
        <v>25</v>
      </c>
      <c r="G219" s="187">
        <v>3219763</v>
      </c>
      <c r="H219" s="188" t="s">
        <v>282</v>
      </c>
    </row>
    <row r="220" spans="1:8" ht="15" customHeight="1">
      <c r="A220" s="184">
        <f t="shared" si="6"/>
        <v>217</v>
      </c>
      <c r="B220" s="185">
        <v>2135</v>
      </c>
      <c r="C220" s="186" t="s">
        <v>283</v>
      </c>
      <c r="D220" s="186" t="str">
        <f t="shared" si="7"/>
        <v>SVEUČILIŠTE U ZAGREBU - KATOLIČKI BOGOSLOVNI FAKULTET  (2135)</v>
      </c>
      <c r="E220" s="186" t="s">
        <v>284</v>
      </c>
      <c r="F220" s="186" t="s">
        <v>25</v>
      </c>
      <c r="G220" s="187">
        <v>3703088</v>
      </c>
      <c r="H220" s="188">
        <v>48987767944</v>
      </c>
    </row>
    <row r="221" spans="1:8" ht="15" customHeight="1">
      <c r="A221" s="184">
        <f t="shared" si="6"/>
        <v>218</v>
      </c>
      <c r="B221" s="185">
        <v>2006</v>
      </c>
      <c r="C221" s="186" t="s">
        <v>285</v>
      </c>
      <c r="D221" s="186" t="str">
        <f t="shared" si="7"/>
        <v>SVEUČILIŠTE U ZAGREBU - KINEZIOLOŠKI FAKULTET (2006)</v>
      </c>
      <c r="E221" s="186" t="s">
        <v>286</v>
      </c>
      <c r="F221" s="186" t="s">
        <v>25</v>
      </c>
      <c r="G221" s="187">
        <v>3274080</v>
      </c>
      <c r="H221" s="188" t="s">
        <v>287</v>
      </c>
    </row>
    <row r="222" spans="1:8" ht="15" customHeight="1">
      <c r="A222" s="184">
        <f t="shared" si="6"/>
        <v>219</v>
      </c>
      <c r="B222" s="185">
        <v>1888</v>
      </c>
      <c r="C222" s="186" t="s">
        <v>288</v>
      </c>
      <c r="D222" s="186" t="str">
        <f t="shared" si="7"/>
        <v>SVEUČILIŠTE U ZAGREBU - MEDICINSKI FAKULTET (1888)</v>
      </c>
      <c r="E222" s="186" t="s">
        <v>289</v>
      </c>
      <c r="F222" s="186" t="s">
        <v>25</v>
      </c>
      <c r="G222" s="187">
        <v>3270211</v>
      </c>
      <c r="H222" s="188" t="s">
        <v>290</v>
      </c>
    </row>
    <row r="223" spans="1:8" ht="15" customHeight="1">
      <c r="A223" s="184">
        <f t="shared" si="6"/>
        <v>220</v>
      </c>
      <c r="B223" s="185">
        <v>2071</v>
      </c>
      <c r="C223" s="186" t="s">
        <v>291</v>
      </c>
      <c r="D223" s="186" t="str">
        <f t="shared" si="7"/>
        <v>SVEUČILIŠTE U ZAGREBU - METALURŠKI FAKULTET SISAK (2071)</v>
      </c>
      <c r="E223" s="186" t="s">
        <v>292</v>
      </c>
      <c r="F223" s="186" t="s">
        <v>293</v>
      </c>
      <c r="G223" s="187">
        <v>3313786</v>
      </c>
      <c r="H223" s="188" t="s">
        <v>294</v>
      </c>
    </row>
    <row r="224" spans="1:8" ht="15" customHeight="1">
      <c r="A224" s="184">
        <f t="shared" si="6"/>
        <v>221</v>
      </c>
      <c r="B224" s="185">
        <v>1999</v>
      </c>
      <c r="C224" s="186" t="s">
        <v>295</v>
      </c>
      <c r="D224" s="186" t="str">
        <f t="shared" si="7"/>
        <v>SVEUČILIŠTE U ZAGREBU - MUZIČKA AKADEMIJA (1999)</v>
      </c>
      <c r="E224" s="186" t="s">
        <v>296</v>
      </c>
      <c r="F224" s="186" t="s">
        <v>25</v>
      </c>
      <c r="G224" s="187">
        <v>3205002</v>
      </c>
      <c r="H224" s="188" t="s">
        <v>297</v>
      </c>
    </row>
    <row r="225" spans="1:8" ht="15" customHeight="1">
      <c r="A225" s="184">
        <f t="shared" si="6"/>
        <v>222</v>
      </c>
      <c r="B225" s="185">
        <v>1915</v>
      </c>
      <c r="C225" s="186" t="s">
        <v>298</v>
      </c>
      <c r="D225" s="186" t="str">
        <f t="shared" si="7"/>
        <v>SVEUČILIŠTE U ZAGREBU - PRAVNI FAKULTET (1915)</v>
      </c>
      <c r="E225" s="186" t="s">
        <v>220</v>
      </c>
      <c r="F225" s="186" t="s">
        <v>25</v>
      </c>
      <c r="G225" s="187">
        <v>3225909</v>
      </c>
      <c r="H225" s="188" t="s">
        <v>299</v>
      </c>
    </row>
    <row r="226" spans="1:8" ht="15" customHeight="1">
      <c r="A226" s="184">
        <f t="shared" si="6"/>
        <v>223</v>
      </c>
      <c r="B226" s="185">
        <v>1845</v>
      </c>
      <c r="C226" s="186" t="s">
        <v>300</v>
      </c>
      <c r="D226" s="186" t="str">
        <f t="shared" si="7"/>
        <v>SVEUČILIŠTE U ZAGREBU - PREHRAMBENO BIOTEHNOLOŠKI FAKULTET (1845)</v>
      </c>
      <c r="E226" s="186" t="s">
        <v>301</v>
      </c>
      <c r="F226" s="186" t="s">
        <v>25</v>
      </c>
      <c r="G226" s="187">
        <v>3207102</v>
      </c>
      <c r="H226" s="188" t="s">
        <v>302</v>
      </c>
    </row>
    <row r="227" spans="1:8" ht="15" customHeight="1">
      <c r="A227" s="184">
        <f t="shared" si="6"/>
        <v>224</v>
      </c>
      <c r="B227" s="185">
        <v>1781</v>
      </c>
      <c r="C227" s="186" t="s">
        <v>303</v>
      </c>
      <c r="D227" s="186" t="str">
        <f t="shared" si="7"/>
        <v>SVEUČILIŠTE U ZAGREBU - PRIRODOSLOVNO-MATEMATIČKI FAKULTET (1781)</v>
      </c>
      <c r="E227" s="186" t="s">
        <v>304</v>
      </c>
      <c r="F227" s="186" t="s">
        <v>25</v>
      </c>
      <c r="G227" s="187">
        <v>3270149</v>
      </c>
      <c r="H227" s="188" t="s">
        <v>305</v>
      </c>
    </row>
    <row r="228" spans="1:8" ht="15" customHeight="1">
      <c r="A228" s="184">
        <f t="shared" si="6"/>
        <v>225</v>
      </c>
      <c r="B228" s="185">
        <v>2047</v>
      </c>
      <c r="C228" s="186" t="s">
        <v>306</v>
      </c>
      <c r="D228" s="186" t="str">
        <f t="shared" si="7"/>
        <v>SVEUČILIŠTE U ZAGREBU - RUDARSKO-GEOLOŠKO-NAFTNI FAKULTET (2047)</v>
      </c>
      <c r="E228" s="186" t="s">
        <v>301</v>
      </c>
      <c r="F228" s="186" t="s">
        <v>25</v>
      </c>
      <c r="G228" s="187">
        <v>3207005</v>
      </c>
      <c r="H228" s="188" t="s">
        <v>307</v>
      </c>
    </row>
    <row r="229" spans="1:8" ht="15" customHeight="1">
      <c r="A229" s="184">
        <f t="shared" si="6"/>
        <v>226</v>
      </c>
      <c r="B229" s="185">
        <v>1870</v>
      </c>
      <c r="C229" s="186" t="s">
        <v>308</v>
      </c>
      <c r="D229" s="186" t="str">
        <f t="shared" si="7"/>
        <v>SVEUČILIŠTE U ZAGREBU - STOMATOLOŠKI FAKULTET (1870)</v>
      </c>
      <c r="E229" s="186" t="s">
        <v>309</v>
      </c>
      <c r="F229" s="186" t="s">
        <v>25</v>
      </c>
      <c r="G229" s="187">
        <v>3204995</v>
      </c>
      <c r="H229" s="188" t="s">
        <v>310</v>
      </c>
    </row>
    <row r="230" spans="1:8" ht="15" customHeight="1">
      <c r="A230" s="184">
        <f t="shared" si="6"/>
        <v>227</v>
      </c>
      <c r="B230" s="185">
        <v>1896</v>
      </c>
      <c r="C230" s="186" t="s">
        <v>311</v>
      </c>
      <c r="D230" s="186" t="str">
        <f t="shared" si="7"/>
        <v>SVEUČILIŠTE U ZAGREBU - FAKULTET ŠUMARSTVA I DRVNE TEHNOLOGIJE (1896)</v>
      </c>
      <c r="E230" s="186" t="s">
        <v>223</v>
      </c>
      <c r="F230" s="186" t="s">
        <v>25</v>
      </c>
      <c r="G230" s="187">
        <v>3281485</v>
      </c>
      <c r="H230" s="188" t="s">
        <v>312</v>
      </c>
    </row>
    <row r="231" spans="1:8" ht="15" customHeight="1">
      <c r="A231" s="184">
        <f t="shared" si="6"/>
        <v>228</v>
      </c>
      <c r="B231" s="185">
        <v>1804</v>
      </c>
      <c r="C231" s="186" t="s">
        <v>313</v>
      </c>
      <c r="D231" s="186" t="str">
        <f t="shared" si="7"/>
        <v>SVEUČILIŠTE U ZAGREBU - TEKSTILNO TEHNOLOŠKI FAKULTET (1804)</v>
      </c>
      <c r="E231" s="186" t="s">
        <v>314</v>
      </c>
      <c r="F231" s="186" t="s">
        <v>25</v>
      </c>
      <c r="G231" s="187">
        <v>3207064</v>
      </c>
      <c r="H231" s="188" t="s">
        <v>315</v>
      </c>
    </row>
    <row r="232" spans="1:8" ht="15" customHeight="1">
      <c r="A232" s="184">
        <f t="shared" si="6"/>
        <v>229</v>
      </c>
      <c r="B232" s="185">
        <v>1940</v>
      </c>
      <c r="C232" s="186" t="s">
        <v>316</v>
      </c>
      <c r="D232" s="186" t="str">
        <f t="shared" si="7"/>
        <v>SVEUČILIŠTE U ZAGREBU - UČITELJSKI FAKULTET (1940)</v>
      </c>
      <c r="E232" s="186" t="s">
        <v>317</v>
      </c>
      <c r="F232" s="186" t="s">
        <v>25</v>
      </c>
      <c r="G232" s="187">
        <v>1422545</v>
      </c>
      <c r="H232" s="188" t="s">
        <v>318</v>
      </c>
    </row>
    <row r="233" spans="1:8" ht="15" customHeight="1">
      <c r="A233" s="184">
        <f t="shared" si="6"/>
        <v>230</v>
      </c>
      <c r="B233" s="185">
        <v>2022</v>
      </c>
      <c r="C233" s="186" t="s">
        <v>319</v>
      </c>
      <c r="D233" s="186" t="str">
        <f t="shared" si="7"/>
        <v>SVEUČILIŠTE U ZAGREBU - VETERINARSKI FAKULTET (2022)</v>
      </c>
      <c r="E233" s="186" t="s">
        <v>320</v>
      </c>
      <c r="F233" s="186" t="s">
        <v>25</v>
      </c>
      <c r="G233" s="187">
        <v>3225755</v>
      </c>
      <c r="H233" s="188" t="s">
        <v>321</v>
      </c>
    </row>
    <row r="234" spans="1:8" ht="15" customHeight="1">
      <c r="A234" s="184">
        <f t="shared" si="6"/>
        <v>231</v>
      </c>
      <c r="B234" s="185">
        <v>22427</v>
      </c>
      <c r="C234" s="186" t="s">
        <v>322</v>
      </c>
      <c r="D234" s="186" t="str">
        <f t="shared" si="7"/>
        <v>TEHNIČKO VELEUČILIŠTE U ZAGREBU (22427)</v>
      </c>
      <c r="E234" s="186" t="s">
        <v>323</v>
      </c>
      <c r="F234" s="186" t="s">
        <v>25</v>
      </c>
      <c r="G234" s="187">
        <v>1398270</v>
      </c>
      <c r="H234" s="188" t="s">
        <v>324</v>
      </c>
    </row>
    <row r="235" spans="1:8" ht="24">
      <c r="A235" s="184">
        <f t="shared" si="6"/>
        <v>232</v>
      </c>
      <c r="B235" s="185">
        <v>50848</v>
      </c>
      <c r="C235" s="186" t="s">
        <v>325</v>
      </c>
      <c r="D235" s="186" t="str">
        <f t="shared" si="7"/>
        <v>VELEUČILIŠTE HRVATSKO ZAGORJE KRAPINA (50848)</v>
      </c>
      <c r="E235" s="186" t="s">
        <v>326</v>
      </c>
      <c r="F235" s="186" t="s">
        <v>327</v>
      </c>
      <c r="G235" s="187">
        <v>2271354</v>
      </c>
      <c r="H235" s="188" t="s">
        <v>328</v>
      </c>
    </row>
    <row r="236" spans="1:8" ht="15" customHeight="1">
      <c r="A236" s="184">
        <f t="shared" si="6"/>
        <v>233</v>
      </c>
      <c r="B236" s="185">
        <v>38446</v>
      </c>
      <c r="C236" s="186" t="s">
        <v>329</v>
      </c>
      <c r="D236" s="186" t="str">
        <f t="shared" si="7"/>
        <v>VELEUČILIŠTE LAVOSLAV RUŽIČKA U VUKOVARU (38446)</v>
      </c>
      <c r="E236" s="195" t="s">
        <v>330</v>
      </c>
      <c r="F236" s="195" t="s">
        <v>331</v>
      </c>
      <c r="G236" s="187">
        <v>1970828</v>
      </c>
      <c r="H236" s="188" t="s">
        <v>332</v>
      </c>
    </row>
    <row r="237" spans="1:8" ht="15" customHeight="1">
      <c r="A237" s="184">
        <f t="shared" si="6"/>
        <v>234</v>
      </c>
      <c r="B237" s="185">
        <v>38438</v>
      </c>
      <c r="C237" s="186" t="s">
        <v>333</v>
      </c>
      <c r="D237" s="186" t="str">
        <f t="shared" si="7"/>
        <v>VELEUČILIŠTE MARKO MARULIĆ U KNINU (38438)</v>
      </c>
      <c r="E237" s="194" t="s">
        <v>4214</v>
      </c>
      <c r="F237" s="194" t="s">
        <v>335</v>
      </c>
      <c r="G237" s="193">
        <v>1963813</v>
      </c>
      <c r="H237" s="188" t="s">
        <v>336</v>
      </c>
    </row>
    <row r="238" spans="1:8" ht="15" customHeight="1">
      <c r="A238" s="184">
        <f t="shared" si="6"/>
        <v>235</v>
      </c>
      <c r="B238" s="185">
        <v>41185</v>
      </c>
      <c r="C238" s="186" t="s">
        <v>337</v>
      </c>
      <c r="D238" s="186" t="str">
        <f t="shared" si="7"/>
        <v>VELEUČILIŠTE NIKOLA TESLA U GOSPIĆU (41185)</v>
      </c>
      <c r="E238" s="186" t="s">
        <v>338</v>
      </c>
      <c r="F238" s="186" t="s">
        <v>339</v>
      </c>
      <c r="G238" s="187">
        <v>2103133</v>
      </c>
      <c r="H238" s="188" t="s">
        <v>340</v>
      </c>
    </row>
    <row r="239" spans="1:8" ht="15" customHeight="1">
      <c r="A239" s="184">
        <f t="shared" si="6"/>
        <v>236</v>
      </c>
      <c r="B239" s="185">
        <v>21053</v>
      </c>
      <c r="C239" s="186" t="s">
        <v>341</v>
      </c>
      <c r="D239" s="186" t="str">
        <f t="shared" si="7"/>
        <v>VELEUČILIŠTE U KARLOVCU (21053)</v>
      </c>
      <c r="E239" s="186" t="s">
        <v>342</v>
      </c>
      <c r="F239" s="186" t="s">
        <v>343</v>
      </c>
      <c r="G239" s="187">
        <v>1286030</v>
      </c>
      <c r="H239" s="188" t="s">
        <v>344</v>
      </c>
    </row>
    <row r="240" spans="1:8" ht="15" customHeight="1">
      <c r="A240" s="184">
        <f t="shared" si="6"/>
        <v>237</v>
      </c>
      <c r="B240" s="185">
        <v>22398</v>
      </c>
      <c r="C240" s="186" t="s">
        <v>4215</v>
      </c>
      <c r="D240" s="186" t="str">
        <f t="shared" si="7"/>
        <v>VELEUČILIŠTE U POŽEGI (22398)</v>
      </c>
      <c r="E240" s="186" t="s">
        <v>105</v>
      </c>
      <c r="F240" s="186" t="s">
        <v>4216</v>
      </c>
      <c r="G240" s="187">
        <v>1395521</v>
      </c>
      <c r="H240" s="188" t="s">
        <v>4217</v>
      </c>
    </row>
    <row r="241" spans="1:8" ht="15" customHeight="1">
      <c r="A241" s="184">
        <f t="shared" si="6"/>
        <v>238</v>
      </c>
      <c r="B241" s="185">
        <v>22494</v>
      </c>
      <c r="C241" s="186" t="s">
        <v>345</v>
      </c>
      <c r="D241" s="186" t="str">
        <f t="shared" si="7"/>
        <v>VELEUČILIŠTE U RIJECI (22494)</v>
      </c>
      <c r="E241" s="186" t="s">
        <v>346</v>
      </c>
      <c r="F241" s="186" t="s">
        <v>126</v>
      </c>
      <c r="G241" s="187">
        <v>1387332</v>
      </c>
      <c r="H241" s="188" t="s">
        <v>347</v>
      </c>
    </row>
    <row r="242" spans="1:8" ht="15" customHeight="1">
      <c r="A242" s="184">
        <f t="shared" si="6"/>
        <v>239</v>
      </c>
      <c r="B242" s="185">
        <v>22824</v>
      </c>
      <c r="C242" s="186" t="s">
        <v>348</v>
      </c>
      <c r="D242" s="186" t="str">
        <f t="shared" si="7"/>
        <v>VELEUČILIŠTE U ŠIBENIKU (22824)</v>
      </c>
      <c r="E242" s="186" t="s">
        <v>4218</v>
      </c>
      <c r="F242" s="186" t="s">
        <v>350</v>
      </c>
      <c r="G242" s="187">
        <v>2100673</v>
      </c>
      <c r="H242" s="188" t="s">
        <v>351</v>
      </c>
    </row>
    <row r="243" spans="1:8" ht="15" customHeight="1">
      <c r="A243" s="184">
        <f t="shared" si="6"/>
        <v>240</v>
      </c>
      <c r="B243" s="185">
        <v>42993</v>
      </c>
      <c r="C243" s="186" t="s">
        <v>352</v>
      </c>
      <c r="D243" s="186" t="str">
        <f t="shared" si="7"/>
        <v>VELEUČILIŠTE U VIROVITICI (42993)</v>
      </c>
      <c r="E243" s="186" t="s">
        <v>353</v>
      </c>
      <c r="F243" s="186" t="s">
        <v>354</v>
      </c>
      <c r="G243" s="187">
        <v>2282208</v>
      </c>
      <c r="H243" s="188" t="s">
        <v>355</v>
      </c>
    </row>
    <row r="244" spans="1:8" ht="15" customHeight="1">
      <c r="A244" s="184">
        <f t="shared" si="6"/>
        <v>241</v>
      </c>
      <c r="B244" s="185">
        <v>22371</v>
      </c>
      <c r="C244" s="186" t="s">
        <v>356</v>
      </c>
      <c r="D244" s="186" t="str">
        <f t="shared" si="7"/>
        <v>VISOKO GOSPODARSKO UČILIŠTE U KRIŽEVCIMA (22371)</v>
      </c>
      <c r="E244" s="186" t="s">
        <v>357</v>
      </c>
      <c r="F244" s="186" t="s">
        <v>358</v>
      </c>
      <c r="G244" s="187">
        <v>1411942</v>
      </c>
      <c r="H244" s="188" t="s">
        <v>359</v>
      </c>
    </row>
    <row r="245" spans="1:8" ht="15" customHeight="1">
      <c r="A245" s="184">
        <f t="shared" si="6"/>
        <v>242</v>
      </c>
      <c r="B245" s="185">
        <v>22832</v>
      </c>
      <c r="C245" s="186" t="s">
        <v>360</v>
      </c>
      <c r="D245" s="186" t="str">
        <f t="shared" si="7"/>
        <v>ZDRAVSTVENO VELEUČILIŠTE (22832)</v>
      </c>
      <c r="E245" s="186" t="s">
        <v>361</v>
      </c>
      <c r="F245" s="186" t="s">
        <v>25</v>
      </c>
      <c r="G245" s="187">
        <v>1274597</v>
      </c>
      <c r="H245" s="188" t="s">
        <v>362</v>
      </c>
    </row>
    <row r="246" spans="1:8" ht="15" customHeight="1">
      <c r="A246" s="184">
        <f t="shared" si="6"/>
        <v>243</v>
      </c>
      <c r="B246" s="185">
        <v>2918</v>
      </c>
      <c r="C246" s="186" t="s">
        <v>4219</v>
      </c>
      <c r="D246" s="186" t="str">
        <f t="shared" si="7"/>
        <v>EKONOMSKI INSTITUT, ZAGREB (2918)</v>
      </c>
      <c r="E246" s="186" t="s">
        <v>4220</v>
      </c>
      <c r="F246" s="186" t="s">
        <v>25</v>
      </c>
      <c r="G246" s="187">
        <v>3219925</v>
      </c>
      <c r="H246" s="188" t="s">
        <v>365</v>
      </c>
    </row>
    <row r="247" spans="1:8" ht="15" customHeight="1">
      <c r="A247" s="184">
        <f t="shared" si="6"/>
        <v>244</v>
      </c>
      <c r="B247" s="185">
        <v>22525</v>
      </c>
      <c r="C247" s="186" t="s">
        <v>368</v>
      </c>
      <c r="D247" s="186" t="str">
        <f t="shared" si="7"/>
        <v>HRVATSKI GEOLOŠKI INSTITUT  (22525)</v>
      </c>
      <c r="E247" s="186" t="s">
        <v>369</v>
      </c>
      <c r="F247" s="186" t="s">
        <v>25</v>
      </c>
      <c r="G247" s="187">
        <v>3219518</v>
      </c>
      <c r="H247" s="188" t="s">
        <v>370</v>
      </c>
    </row>
    <row r="248" spans="1:8" ht="15" customHeight="1">
      <c r="A248" s="184">
        <f t="shared" si="6"/>
        <v>245</v>
      </c>
      <c r="B248" s="185">
        <v>2934</v>
      </c>
      <c r="C248" s="186" t="s">
        <v>371</v>
      </c>
      <c r="D248" s="186" t="str">
        <f t="shared" si="7"/>
        <v>HRVATSKI INSTITUT ZA POVIJEST (2934)</v>
      </c>
      <c r="E248" s="186" t="s">
        <v>372</v>
      </c>
      <c r="F248" s="186" t="s">
        <v>25</v>
      </c>
      <c r="G248" s="187">
        <v>3207153</v>
      </c>
      <c r="H248" s="188" t="s">
        <v>373</v>
      </c>
    </row>
    <row r="249" spans="1:8" ht="15" customHeight="1">
      <c r="A249" s="184">
        <f t="shared" si="6"/>
        <v>246</v>
      </c>
      <c r="B249" s="185">
        <v>2967</v>
      </c>
      <c r="C249" s="186" t="s">
        <v>374</v>
      </c>
      <c r="D249" s="186" t="str">
        <f t="shared" si="7"/>
        <v>HRVATSKI ŠUMARSKI INSTITUT (2967)</v>
      </c>
      <c r="E249" s="186" t="s">
        <v>375</v>
      </c>
      <c r="F249" s="186" t="s">
        <v>376</v>
      </c>
      <c r="G249" s="187">
        <v>3115879</v>
      </c>
      <c r="H249" s="188" t="s">
        <v>377</v>
      </c>
    </row>
    <row r="250" spans="1:8" ht="15" customHeight="1">
      <c r="A250" s="184">
        <f t="shared" si="6"/>
        <v>247</v>
      </c>
      <c r="B250" s="185">
        <v>2983</v>
      </c>
      <c r="C250" s="186" t="s">
        <v>378</v>
      </c>
      <c r="D250" s="186" t="str">
        <f t="shared" si="7"/>
        <v>HRVATSKI VETERINARSKI INSTITUT (2983)</v>
      </c>
      <c r="E250" s="186" t="s">
        <v>379</v>
      </c>
      <c r="F250" s="186" t="s">
        <v>25</v>
      </c>
      <c r="G250" s="187">
        <v>3274098</v>
      </c>
      <c r="H250" s="188" t="s">
        <v>380</v>
      </c>
    </row>
    <row r="251" spans="1:8" ht="15" customHeight="1">
      <c r="A251" s="184">
        <f t="shared" ref="A251:A314" si="8">+A250+1</f>
        <v>248</v>
      </c>
      <c r="B251" s="185">
        <v>3105</v>
      </c>
      <c r="C251" s="186" t="s">
        <v>381</v>
      </c>
      <c r="D251" s="186" t="str">
        <f t="shared" si="7"/>
        <v>INSTITUT DRUŠTVENIH ZNANOSTI IVO PILAR (3105)</v>
      </c>
      <c r="E251" s="186" t="s">
        <v>382</v>
      </c>
      <c r="F251" s="186" t="s">
        <v>25</v>
      </c>
      <c r="G251" s="187">
        <v>3793028</v>
      </c>
      <c r="H251" s="188" t="s">
        <v>383</v>
      </c>
    </row>
    <row r="252" spans="1:8" ht="15" customHeight="1">
      <c r="A252" s="184">
        <f t="shared" si="8"/>
        <v>249</v>
      </c>
      <c r="B252" s="185">
        <v>3041</v>
      </c>
      <c r="C252" s="186" t="s">
        <v>384</v>
      </c>
      <c r="D252" s="186" t="str">
        <f t="shared" si="7"/>
        <v>INSTITUT RUĐER BOŠKOVIĆ (3041)</v>
      </c>
      <c r="E252" s="186" t="s">
        <v>385</v>
      </c>
      <c r="F252" s="186" t="s">
        <v>25</v>
      </c>
      <c r="G252" s="187">
        <v>3270289</v>
      </c>
      <c r="H252" s="188" t="s">
        <v>386</v>
      </c>
    </row>
    <row r="253" spans="1:8" ht="15" customHeight="1">
      <c r="A253" s="184">
        <f t="shared" si="8"/>
        <v>250</v>
      </c>
      <c r="B253" s="185">
        <v>3113</v>
      </c>
      <c r="C253" s="186" t="s">
        <v>387</v>
      </c>
      <c r="D253" s="186" t="str">
        <f t="shared" si="7"/>
        <v>INSTITUT ZA ANTROPOLOGIJU (3113)</v>
      </c>
      <c r="E253" s="186" t="s">
        <v>388</v>
      </c>
      <c r="F253" s="186" t="s">
        <v>25</v>
      </c>
      <c r="G253" s="187">
        <v>3817121</v>
      </c>
      <c r="H253" s="188" t="s">
        <v>389</v>
      </c>
    </row>
    <row r="254" spans="1:8" ht="15" customHeight="1">
      <c r="A254" s="184">
        <f t="shared" si="8"/>
        <v>251</v>
      </c>
      <c r="B254" s="185">
        <v>3121</v>
      </c>
      <c r="C254" s="186" t="s">
        <v>390</v>
      </c>
      <c r="D254" s="186" t="str">
        <f t="shared" si="7"/>
        <v>INSTITUT ZA ARHEOLOGIJU (3121)</v>
      </c>
      <c r="E254" s="186" t="s">
        <v>388</v>
      </c>
      <c r="F254" s="186" t="s">
        <v>25</v>
      </c>
      <c r="G254" s="187">
        <v>3937658</v>
      </c>
      <c r="H254" s="188" t="s">
        <v>391</v>
      </c>
    </row>
    <row r="255" spans="1:8" ht="15" customHeight="1">
      <c r="A255" s="184">
        <f t="shared" si="8"/>
        <v>252</v>
      </c>
      <c r="B255" s="185">
        <v>3050</v>
      </c>
      <c r="C255" s="186" t="s">
        <v>4221</v>
      </c>
      <c r="D255" s="186" t="str">
        <f t="shared" si="7"/>
        <v>INSTITUT ZA DRUŠTVENA ISTRAŽIVANJA U ZAGREBU (3050)</v>
      </c>
      <c r="E255" s="186" t="s">
        <v>393</v>
      </c>
      <c r="F255" s="186" t="s">
        <v>25</v>
      </c>
      <c r="G255" s="187">
        <v>3205118</v>
      </c>
      <c r="H255" s="188" t="s">
        <v>394</v>
      </c>
    </row>
    <row r="256" spans="1:8" ht="15" customHeight="1">
      <c r="A256" s="184">
        <f t="shared" si="8"/>
        <v>253</v>
      </c>
      <c r="B256" s="185">
        <v>3084</v>
      </c>
      <c r="C256" s="186" t="s">
        <v>395</v>
      </c>
      <c r="D256" s="186" t="str">
        <f t="shared" si="7"/>
        <v>INSTITUT ZA ETNOLOGIJU I FOLKLORISTIKU (3084)</v>
      </c>
      <c r="E256" s="186" t="s">
        <v>396</v>
      </c>
      <c r="F256" s="186" t="s">
        <v>25</v>
      </c>
      <c r="G256" s="187">
        <v>3724042</v>
      </c>
      <c r="H256" s="188" t="s">
        <v>397</v>
      </c>
    </row>
    <row r="257" spans="1:8" ht="15" customHeight="1">
      <c r="A257" s="184">
        <f t="shared" si="8"/>
        <v>254</v>
      </c>
      <c r="B257" s="185">
        <v>3092</v>
      </c>
      <c r="C257" s="186" t="s">
        <v>398</v>
      </c>
      <c r="D257" s="186" t="str">
        <f t="shared" si="7"/>
        <v>INSTITUT ZA FILOZOFIJU (3092)</v>
      </c>
      <c r="E257" s="186" t="s">
        <v>399</v>
      </c>
      <c r="F257" s="186" t="s">
        <v>25</v>
      </c>
      <c r="G257" s="187">
        <v>3772047</v>
      </c>
      <c r="H257" s="188" t="s">
        <v>400</v>
      </c>
    </row>
    <row r="258" spans="1:8" ht="15" customHeight="1">
      <c r="A258" s="184">
        <f t="shared" si="8"/>
        <v>255</v>
      </c>
      <c r="B258" s="185">
        <v>2975</v>
      </c>
      <c r="C258" s="186" t="s">
        <v>401</v>
      </c>
      <c r="D258" s="186" t="str">
        <f t="shared" si="7"/>
        <v>INSTITUT ZA FIZIKU (2975)</v>
      </c>
      <c r="E258" s="186" t="s">
        <v>385</v>
      </c>
      <c r="F258" s="186" t="s">
        <v>25</v>
      </c>
      <c r="G258" s="187">
        <v>3270424</v>
      </c>
      <c r="H258" s="188" t="s">
        <v>402</v>
      </c>
    </row>
    <row r="259" spans="1:8" ht="15" customHeight="1">
      <c r="A259" s="184">
        <f t="shared" si="8"/>
        <v>256</v>
      </c>
      <c r="B259" s="185">
        <v>21061</v>
      </c>
      <c r="C259" s="186" t="s">
        <v>403</v>
      </c>
      <c r="D259" s="186" t="str">
        <f t="shared" si="7"/>
        <v>INSTITUT ZA HRVATSKI JEZIK I JEZIKOSLOVLJE (21061)</v>
      </c>
      <c r="E259" s="186" t="s">
        <v>404</v>
      </c>
      <c r="F259" s="186" t="s">
        <v>25</v>
      </c>
      <c r="G259" s="187">
        <v>1259571</v>
      </c>
      <c r="H259" s="188" t="s">
        <v>405</v>
      </c>
    </row>
    <row r="260" spans="1:8" ht="15" customHeight="1">
      <c r="A260" s="184">
        <f t="shared" si="8"/>
        <v>257</v>
      </c>
      <c r="B260" s="185">
        <v>3025</v>
      </c>
      <c r="C260" s="186" t="s">
        <v>406</v>
      </c>
      <c r="D260" s="186" t="str">
        <f t="shared" ref="D260:D323" si="9">C260&amp;" ("&amp;B260&amp;")"</f>
        <v>INSTITUT ZA JADRANSKE KULTURE I MELIORACIJU KRŠA (3025)</v>
      </c>
      <c r="E260" s="186" t="s">
        <v>407</v>
      </c>
      <c r="F260" s="186" t="s">
        <v>176</v>
      </c>
      <c r="G260" s="187">
        <v>3140792</v>
      </c>
      <c r="H260" s="188" t="s">
        <v>408</v>
      </c>
    </row>
    <row r="261" spans="1:8" ht="15" customHeight="1">
      <c r="A261" s="184">
        <f t="shared" si="8"/>
        <v>258</v>
      </c>
      <c r="B261" s="185">
        <v>23286</v>
      </c>
      <c r="C261" s="186" t="s">
        <v>409</v>
      </c>
      <c r="D261" s="186" t="str">
        <f t="shared" si="9"/>
        <v>INSTITUT ZA JAVNE FINANCIJE (23286)</v>
      </c>
      <c r="E261" s="186" t="s">
        <v>410</v>
      </c>
      <c r="F261" s="186" t="s">
        <v>25</v>
      </c>
      <c r="G261" s="187">
        <v>3226344</v>
      </c>
      <c r="H261" s="188" t="s">
        <v>411</v>
      </c>
    </row>
    <row r="262" spans="1:8" ht="15" customHeight="1">
      <c r="A262" s="184">
        <f t="shared" si="8"/>
        <v>259</v>
      </c>
      <c r="B262" s="185">
        <v>2959</v>
      </c>
      <c r="C262" s="186" t="s">
        <v>412</v>
      </c>
      <c r="D262" s="186" t="str">
        <f t="shared" si="9"/>
        <v>INSTITUT ZA MEDICINSKA ISTRAŽIVANJA I MEDICINU RADA (2959)</v>
      </c>
      <c r="E262" s="186" t="s">
        <v>413</v>
      </c>
      <c r="F262" s="186" t="s">
        <v>25</v>
      </c>
      <c r="G262" s="187">
        <v>3270475</v>
      </c>
      <c r="H262" s="188" t="s">
        <v>414</v>
      </c>
    </row>
    <row r="263" spans="1:8" ht="15" customHeight="1">
      <c r="A263" s="184">
        <f t="shared" si="8"/>
        <v>260</v>
      </c>
      <c r="B263" s="185">
        <v>3009</v>
      </c>
      <c r="C263" s="186" t="s">
        <v>415</v>
      </c>
      <c r="D263" s="186" t="str">
        <f t="shared" si="9"/>
        <v>INSTITUT ZA MIGRACIJE I NARODNOSTI (3009)</v>
      </c>
      <c r="E263" s="186" t="s">
        <v>416</v>
      </c>
      <c r="F263" s="186" t="s">
        <v>25</v>
      </c>
      <c r="G263" s="187">
        <v>3287572</v>
      </c>
      <c r="H263" s="188" t="s">
        <v>417</v>
      </c>
    </row>
    <row r="264" spans="1:8" ht="15" customHeight="1">
      <c r="A264" s="184">
        <f t="shared" si="8"/>
        <v>261</v>
      </c>
      <c r="B264" s="185">
        <v>2900</v>
      </c>
      <c r="C264" s="186" t="s">
        <v>418</v>
      </c>
      <c r="D264" s="186" t="str">
        <f t="shared" si="9"/>
        <v>INSTITUT ZA OCEANOGRAFIJU I RIBARSTVO (2900)</v>
      </c>
      <c r="E264" s="186" t="s">
        <v>4222</v>
      </c>
      <c r="F264" s="186" t="s">
        <v>176</v>
      </c>
      <c r="G264" s="187">
        <v>3118355</v>
      </c>
      <c r="H264" s="188" t="s">
        <v>420</v>
      </c>
    </row>
    <row r="265" spans="1:8" ht="15" customHeight="1">
      <c r="A265" s="184">
        <f t="shared" si="8"/>
        <v>262</v>
      </c>
      <c r="B265" s="185">
        <v>3076</v>
      </c>
      <c r="C265" s="186" t="s">
        <v>421</v>
      </c>
      <c r="D265" s="186" t="str">
        <f t="shared" si="9"/>
        <v>INSTITUT ZA POLJOPRIVREDU I TURIZAM (3076)</v>
      </c>
      <c r="E265" s="186" t="s">
        <v>422</v>
      </c>
      <c r="F265" s="186" t="s">
        <v>423</v>
      </c>
      <c r="G265" s="187">
        <v>3421031</v>
      </c>
      <c r="H265" s="188" t="s">
        <v>424</v>
      </c>
    </row>
    <row r="266" spans="1:8" ht="15" customHeight="1">
      <c r="A266" s="184">
        <f t="shared" si="8"/>
        <v>263</v>
      </c>
      <c r="B266" s="185">
        <v>2942</v>
      </c>
      <c r="C266" s="186" t="s">
        <v>425</v>
      </c>
      <c r="D266" s="186" t="str">
        <f t="shared" si="9"/>
        <v>INSTITUT ZA POVIJEST UMJETNOSTI (2942)</v>
      </c>
      <c r="E266" s="186" t="s">
        <v>426</v>
      </c>
      <c r="F266" s="186" t="s">
        <v>25</v>
      </c>
      <c r="G266" s="187">
        <v>1339958</v>
      </c>
      <c r="H266" s="188" t="s">
        <v>427</v>
      </c>
    </row>
    <row r="267" spans="1:8" ht="15" customHeight="1">
      <c r="A267" s="184">
        <f t="shared" si="8"/>
        <v>264</v>
      </c>
      <c r="B267" s="185">
        <v>22621</v>
      </c>
      <c r="C267" s="186" t="s">
        <v>428</v>
      </c>
      <c r="D267" s="186" t="str">
        <f t="shared" si="9"/>
        <v>INSTITUT ZA RAZVOJ I MEĐUNARODNE ODNOSE (22621)</v>
      </c>
      <c r="E267" s="186" t="s">
        <v>429</v>
      </c>
      <c r="F267" s="186" t="s">
        <v>25</v>
      </c>
      <c r="G267" s="187">
        <v>3205177</v>
      </c>
      <c r="H267" s="188" t="s">
        <v>430</v>
      </c>
    </row>
    <row r="268" spans="1:8" ht="15" customHeight="1">
      <c r="A268" s="184">
        <f t="shared" si="8"/>
        <v>265</v>
      </c>
      <c r="B268" s="185">
        <v>3068</v>
      </c>
      <c r="C268" s="186" t="s">
        <v>431</v>
      </c>
      <c r="D268" s="186" t="str">
        <f t="shared" si="9"/>
        <v>INSTITUT ZA TURIZAM (3068)</v>
      </c>
      <c r="E268" s="186" t="s">
        <v>432</v>
      </c>
      <c r="F268" s="186" t="s">
        <v>25</v>
      </c>
      <c r="G268" s="187">
        <v>3208001</v>
      </c>
      <c r="H268" s="188" t="s">
        <v>433</v>
      </c>
    </row>
    <row r="269" spans="1:8" ht="15" customHeight="1">
      <c r="A269" s="184">
        <f t="shared" si="8"/>
        <v>266</v>
      </c>
      <c r="B269" s="185">
        <v>2991</v>
      </c>
      <c r="C269" s="186" t="s">
        <v>434</v>
      </c>
      <c r="D269" s="186" t="str">
        <f t="shared" si="9"/>
        <v>POLJOPRIVREDNI INSTITUT OSIJEK (2991)</v>
      </c>
      <c r="E269" s="186" t="s">
        <v>435</v>
      </c>
      <c r="F269" s="186" t="s">
        <v>45</v>
      </c>
      <c r="G269" s="187">
        <v>3058239</v>
      </c>
      <c r="H269" s="188" t="s">
        <v>436</v>
      </c>
    </row>
    <row r="270" spans="1:8" ht="15" customHeight="1">
      <c r="A270" s="184">
        <f t="shared" si="8"/>
        <v>267</v>
      </c>
      <c r="B270" s="185">
        <v>21070</v>
      </c>
      <c r="C270" s="186" t="s">
        <v>437</v>
      </c>
      <c r="D270" s="186" t="str">
        <f t="shared" si="9"/>
        <v>STAROSLAVENSKI INSTITUT (21070)</v>
      </c>
      <c r="E270" s="186" t="s">
        <v>438</v>
      </c>
      <c r="F270" s="186" t="s">
        <v>25</v>
      </c>
      <c r="G270" s="187">
        <v>1259563</v>
      </c>
      <c r="H270" s="188" t="s">
        <v>439</v>
      </c>
    </row>
    <row r="271" spans="1:8" ht="15" customHeight="1">
      <c r="A271" s="184">
        <f t="shared" si="8"/>
        <v>268</v>
      </c>
      <c r="B271" s="185">
        <v>6179</v>
      </c>
      <c r="C271" s="186" t="s">
        <v>440</v>
      </c>
      <c r="D271" s="186" t="str">
        <f t="shared" si="9"/>
        <v>DRŽAVNI ZAVOD ZA INTELEKTUALNO VLASNIŠTVO (6179)</v>
      </c>
      <c r="E271" s="186" t="s">
        <v>441</v>
      </c>
      <c r="F271" s="186" t="s">
        <v>25</v>
      </c>
      <c r="G271" s="187">
        <v>3899772</v>
      </c>
      <c r="H271" s="188" t="s">
        <v>442</v>
      </c>
    </row>
    <row r="272" spans="1:8" ht="15" customHeight="1">
      <c r="A272" s="184">
        <f t="shared" si="8"/>
        <v>269</v>
      </c>
      <c r="B272" s="185">
        <v>43335</v>
      </c>
      <c r="C272" s="186" t="s">
        <v>445</v>
      </c>
      <c r="D272" s="186" t="str">
        <f t="shared" si="9"/>
        <v>AGENCIJA ZA MOBILNOST I PROGRAME EUROPSKE UNIJE (43335)</v>
      </c>
      <c r="E272" s="194" t="s">
        <v>446</v>
      </c>
      <c r="F272" s="186" t="s">
        <v>25</v>
      </c>
      <c r="G272" s="193">
        <v>2298007</v>
      </c>
      <c r="H272" s="188" t="s">
        <v>447</v>
      </c>
    </row>
    <row r="273" spans="1:8" ht="15" customHeight="1">
      <c r="A273" s="184">
        <f t="shared" si="8"/>
        <v>270</v>
      </c>
      <c r="B273" s="185">
        <v>23962</v>
      </c>
      <c r="C273" s="186" t="s">
        <v>450</v>
      </c>
      <c r="D273" s="186" t="str">
        <f t="shared" si="9"/>
        <v>AGENCIJA ZA ODGOJ I OBRAZOVANJE (23962)</v>
      </c>
      <c r="E273" s="186" t="s">
        <v>456</v>
      </c>
      <c r="F273" s="186" t="s">
        <v>25</v>
      </c>
      <c r="G273" s="187">
        <v>1778129</v>
      </c>
      <c r="H273" s="188" t="s">
        <v>451</v>
      </c>
    </row>
    <row r="274" spans="1:8" ht="15" customHeight="1">
      <c r="A274" s="184">
        <f t="shared" si="8"/>
        <v>271</v>
      </c>
      <c r="B274" s="185">
        <v>46173</v>
      </c>
      <c r="C274" s="186" t="s">
        <v>452</v>
      </c>
      <c r="D274" s="186" t="str">
        <f t="shared" si="9"/>
        <v>AGENCIJA ZA STRUKOVNO OBRAZOVANJE I OBRAZOVANJE ODRASLIH (46173)</v>
      </c>
      <c r="E274" s="194" t="s">
        <v>453</v>
      </c>
      <c r="F274" s="186" t="s">
        <v>25</v>
      </c>
      <c r="G274" s="193">
        <v>2650029</v>
      </c>
      <c r="H274" s="188" t="s">
        <v>454</v>
      </c>
    </row>
    <row r="275" spans="1:8" ht="15" customHeight="1">
      <c r="A275" s="184">
        <f t="shared" si="8"/>
        <v>272</v>
      </c>
      <c r="B275" s="185">
        <v>38487</v>
      </c>
      <c r="C275" s="186" t="s">
        <v>455</v>
      </c>
      <c r="D275" s="186" t="str">
        <f t="shared" si="9"/>
        <v>AGENCIJA ZA ZNANOST I VISOKO OBRAZOVANJE (38487)</v>
      </c>
      <c r="E275" s="194" t="s">
        <v>456</v>
      </c>
      <c r="F275" s="186" t="s">
        <v>25</v>
      </c>
      <c r="G275" s="193">
        <v>1922548</v>
      </c>
      <c r="H275" s="188" t="s">
        <v>457</v>
      </c>
    </row>
    <row r="276" spans="1:8" ht="15" customHeight="1">
      <c r="A276" s="184">
        <f t="shared" si="8"/>
        <v>273</v>
      </c>
      <c r="B276" s="185">
        <v>21852</v>
      </c>
      <c r="C276" s="186" t="s">
        <v>458</v>
      </c>
      <c r="D276" s="186" t="str">
        <f t="shared" si="9"/>
        <v>HRVATSKA AKADEMSKA I ISTRAŽIVAČKA MREŽA - CARNET (21852)</v>
      </c>
      <c r="E276" s="194" t="s">
        <v>459</v>
      </c>
      <c r="F276" s="186" t="s">
        <v>25</v>
      </c>
      <c r="G276" s="193">
        <v>1147820</v>
      </c>
      <c r="H276" s="188" t="s">
        <v>460</v>
      </c>
    </row>
    <row r="277" spans="1:8" ht="15" customHeight="1">
      <c r="A277" s="184">
        <f t="shared" si="8"/>
        <v>274</v>
      </c>
      <c r="B277" s="185">
        <v>52209</v>
      </c>
      <c r="C277" s="186" t="s">
        <v>461</v>
      </c>
      <c r="D277" s="186" t="str">
        <f t="shared" si="9"/>
        <v>HRVATSKA ZAKLADA ZA ZNANOST (52209)</v>
      </c>
      <c r="E277" s="194" t="s">
        <v>462</v>
      </c>
      <c r="F277" s="186" t="s">
        <v>25</v>
      </c>
      <c r="G277" s="193">
        <v>1626841</v>
      </c>
      <c r="H277" s="188">
        <v>88776522763</v>
      </c>
    </row>
    <row r="278" spans="1:8" ht="15" customHeight="1">
      <c r="A278" s="184">
        <f t="shared" si="8"/>
        <v>275</v>
      </c>
      <c r="B278" s="185">
        <v>21869</v>
      </c>
      <c r="C278" s="186" t="s">
        <v>464</v>
      </c>
      <c r="D278" s="186" t="str">
        <f t="shared" si="9"/>
        <v>LEKSIKOGRAFSKI ZAVOD MIROSLAV KRLEŽA (21869)</v>
      </c>
      <c r="E278" s="194" t="s">
        <v>446</v>
      </c>
      <c r="F278" s="186" t="s">
        <v>25</v>
      </c>
      <c r="G278" s="193">
        <v>3211622</v>
      </c>
      <c r="H278" s="188" t="s">
        <v>465</v>
      </c>
    </row>
    <row r="279" spans="1:8" ht="15" customHeight="1">
      <c r="A279" s="184">
        <f t="shared" si="8"/>
        <v>276</v>
      </c>
      <c r="B279" s="185">
        <v>21836</v>
      </c>
      <c r="C279" s="186" t="s">
        <v>466</v>
      </c>
      <c r="D279" s="186" t="str">
        <f t="shared" si="9"/>
        <v>NACIONALNA I SVEUČILIŠNA KNJIŽNICA U ZAGREBU (21836)</v>
      </c>
      <c r="E279" s="194" t="s">
        <v>4223</v>
      </c>
      <c r="F279" s="186" t="s">
        <v>25</v>
      </c>
      <c r="G279" s="193">
        <v>3205363</v>
      </c>
      <c r="H279" s="188" t="s">
        <v>468</v>
      </c>
    </row>
    <row r="280" spans="1:8" ht="15" customHeight="1">
      <c r="A280" s="184">
        <f t="shared" si="8"/>
        <v>277</v>
      </c>
      <c r="B280" s="185">
        <v>40883</v>
      </c>
      <c r="C280" s="186" t="s">
        <v>469</v>
      </c>
      <c r="D280" s="186" t="str">
        <f t="shared" si="9"/>
        <v>NACIONALNI CENTAR ZA VANJSKO VREDNOVANJE OBRAZOVANJA (40883)</v>
      </c>
      <c r="E280" s="194" t="s">
        <v>470</v>
      </c>
      <c r="F280" s="186" t="s">
        <v>471</v>
      </c>
      <c r="G280" s="193">
        <v>1943430</v>
      </c>
      <c r="H280" s="188" t="s">
        <v>472</v>
      </c>
    </row>
    <row r="281" spans="1:8" ht="15" customHeight="1">
      <c r="A281" s="184">
        <f t="shared" si="8"/>
        <v>278</v>
      </c>
      <c r="B281" s="185">
        <v>23665</v>
      </c>
      <c r="C281" s="186" t="s">
        <v>473</v>
      </c>
      <c r="D281" s="186" t="str">
        <f t="shared" si="9"/>
        <v>SVEUČILIŠTE U ZAGREBU - SVEUČILIŠNI RAČUNSKI CENTAR - SRCE (23665)</v>
      </c>
      <c r="E281" s="194" t="s">
        <v>459</v>
      </c>
      <c r="F281" s="186" t="s">
        <v>25</v>
      </c>
      <c r="G281" s="187">
        <v>3283020</v>
      </c>
      <c r="H281" s="188" t="s">
        <v>474</v>
      </c>
    </row>
    <row r="282" spans="1:8" s="178" customFormat="1" ht="15" customHeight="1">
      <c r="A282" s="173">
        <f t="shared" si="8"/>
        <v>279</v>
      </c>
      <c r="B282" s="180">
        <v>47096</v>
      </c>
      <c r="C282" s="181" t="s">
        <v>4224</v>
      </c>
      <c r="D282" s="186" t="str">
        <f t="shared" si="9"/>
        <v>MINISTARSTVO RADA, MIROVINSKOG SUSTAVA, OBITELJI I SOCIJALNE POLITIKE (47096)</v>
      </c>
      <c r="E282" s="181" t="s">
        <v>441</v>
      </c>
      <c r="F282" s="181" t="s">
        <v>25</v>
      </c>
      <c r="G282" s="182">
        <v>2830949</v>
      </c>
      <c r="H282" s="183" t="s">
        <v>4225</v>
      </c>
    </row>
    <row r="283" spans="1:8" s="178" customFormat="1" ht="15" customHeight="1">
      <c r="A283" s="184">
        <f t="shared" si="8"/>
        <v>280</v>
      </c>
      <c r="B283" s="185">
        <v>25843</v>
      </c>
      <c r="C283" s="186" t="s">
        <v>4226</v>
      </c>
      <c r="D283" s="186" t="str">
        <f t="shared" si="9"/>
        <v>HRVATSKI ZAVOD ZA ZAPOŠLJAVANJE* (25843)</v>
      </c>
      <c r="E283" s="186" t="s">
        <v>4227</v>
      </c>
      <c r="F283" s="186" t="s">
        <v>25</v>
      </c>
      <c r="G283" s="187">
        <v>1369741</v>
      </c>
      <c r="H283" s="188" t="s">
        <v>4228</v>
      </c>
    </row>
    <row r="284" spans="1:8" ht="24">
      <c r="A284" s="184">
        <f t="shared" si="8"/>
        <v>281</v>
      </c>
      <c r="B284" s="185">
        <v>48242</v>
      </c>
      <c r="C284" s="186" t="s">
        <v>4229</v>
      </c>
      <c r="D284" s="186" t="str">
        <f t="shared" si="9"/>
        <v>ZAVOD ZA VJEŠTAČENJE, PROFESIONALNU REHABILITACIJU I ZAPOŠLJAVANJE OSOBA S INVALIDITETOM (48242)</v>
      </c>
      <c r="E284" s="186" t="s">
        <v>4230</v>
      </c>
      <c r="F284" s="186" t="s">
        <v>25</v>
      </c>
      <c r="G284" s="187">
        <v>4166159</v>
      </c>
      <c r="H284" s="188" t="s">
        <v>4231</v>
      </c>
    </row>
    <row r="285" spans="1:8" ht="15" customHeight="1">
      <c r="A285" s="184">
        <f t="shared" si="8"/>
        <v>282</v>
      </c>
      <c r="B285" s="185">
        <v>24168</v>
      </c>
      <c r="C285" s="186" t="s">
        <v>4232</v>
      </c>
      <c r="D285" s="186" t="str">
        <f t="shared" si="9"/>
        <v>SREDIŠNJI REGISTAR OSIGURANIKA (24168)</v>
      </c>
      <c r="E285" s="186" t="s">
        <v>4233</v>
      </c>
      <c r="F285" s="186" t="s">
        <v>25</v>
      </c>
      <c r="G285" s="187">
        <v>1469819</v>
      </c>
      <c r="H285" s="183" t="s">
        <v>4234</v>
      </c>
    </row>
    <row r="286" spans="1:8" ht="15" customHeight="1">
      <c r="A286" s="184">
        <f t="shared" si="8"/>
        <v>283</v>
      </c>
      <c r="B286" s="185">
        <v>44508</v>
      </c>
      <c r="C286" s="186" t="s">
        <v>4235</v>
      </c>
      <c r="D286" s="186" t="str">
        <f t="shared" si="9"/>
        <v>AGENCIJA ZA OSIGURANJE RADNIČKIH TRAŽBINA (44508)</v>
      </c>
      <c r="E286" s="186" t="s">
        <v>4236</v>
      </c>
      <c r="F286" s="186" t="s">
        <v>25</v>
      </c>
      <c r="G286" s="187">
        <v>2456257</v>
      </c>
      <c r="H286" s="188" t="s">
        <v>4237</v>
      </c>
    </row>
    <row r="287" spans="1:8" ht="15" customHeight="1">
      <c r="A287" s="184">
        <f t="shared" si="8"/>
        <v>284</v>
      </c>
      <c r="B287" s="185">
        <v>33634</v>
      </c>
      <c r="C287" s="202" t="s">
        <v>4238</v>
      </c>
      <c r="D287" s="186" t="str">
        <f t="shared" si="9"/>
        <v>CENTAR ZA PROFESIONALNU REHABILITACIJU OSIJEK (33634)</v>
      </c>
      <c r="E287" s="202" t="s">
        <v>4239</v>
      </c>
      <c r="F287" s="202" t="s">
        <v>45</v>
      </c>
      <c r="G287" s="197" t="s">
        <v>4240</v>
      </c>
      <c r="H287" s="203">
        <v>57200304958</v>
      </c>
    </row>
    <row r="288" spans="1:8" ht="15" customHeight="1">
      <c r="A288" s="184">
        <f t="shared" si="8"/>
        <v>285</v>
      </c>
      <c r="B288" s="185">
        <v>49059</v>
      </c>
      <c r="C288" s="202" t="s">
        <v>4241</v>
      </c>
      <c r="D288" s="186" t="str">
        <f t="shared" si="9"/>
        <v>CENTAR ZA PROFESIONALNU REHABILITACIJU RIJEKA (49059)</v>
      </c>
      <c r="E288" s="202" t="s">
        <v>4242</v>
      </c>
      <c r="F288" s="202" t="s">
        <v>126</v>
      </c>
      <c r="G288" s="204" t="s">
        <v>4243</v>
      </c>
      <c r="H288" s="203">
        <v>99737296287</v>
      </c>
    </row>
    <row r="289" spans="1:8" ht="15" customHeight="1">
      <c r="A289" s="184">
        <f t="shared" si="8"/>
        <v>286</v>
      </c>
      <c r="B289" s="185">
        <v>49729</v>
      </c>
      <c r="C289" s="202" t="s">
        <v>4244</v>
      </c>
      <c r="D289" s="186" t="str">
        <f t="shared" si="9"/>
        <v>CENTAR ZA PROFESIONALNU REHABILITACIJU SPLIT (49729)</v>
      </c>
      <c r="E289" s="202" t="s">
        <v>4245</v>
      </c>
      <c r="F289" s="202" t="s">
        <v>176</v>
      </c>
      <c r="G289" s="197" t="s">
        <v>4246</v>
      </c>
      <c r="H289" s="203">
        <v>60142045282</v>
      </c>
    </row>
    <row r="290" spans="1:8" ht="15" customHeight="1">
      <c r="A290" s="184">
        <f t="shared" si="8"/>
        <v>287</v>
      </c>
      <c r="B290" s="185">
        <v>48865</v>
      </c>
      <c r="C290" s="202" t="s">
        <v>4247</v>
      </c>
      <c r="D290" s="186" t="str">
        <f t="shared" si="9"/>
        <v>CENTAR ZA PROFESIONALNU REHABILITACIJU ZAGREB (48865)</v>
      </c>
      <c r="E290" s="202" t="s">
        <v>4248</v>
      </c>
      <c r="F290" s="202" t="s">
        <v>25</v>
      </c>
      <c r="G290" s="197" t="s">
        <v>4249</v>
      </c>
      <c r="H290" s="203">
        <v>69410598395</v>
      </c>
    </row>
    <row r="291" spans="1:8" ht="15" customHeight="1">
      <c r="A291" s="184">
        <f t="shared" si="8"/>
        <v>288</v>
      </c>
      <c r="B291" s="185">
        <v>7333</v>
      </c>
      <c r="C291" s="186" t="s">
        <v>4250</v>
      </c>
      <c r="D291" s="186" t="str">
        <f t="shared" si="9"/>
        <v>CENTAR RUDOLF STEINER DARUVAR (7333)</v>
      </c>
      <c r="E291" s="186" t="s">
        <v>4251</v>
      </c>
      <c r="F291" s="186" t="s">
        <v>4252</v>
      </c>
      <c r="G291" s="187">
        <v>3099598</v>
      </c>
      <c r="H291" s="188" t="s">
        <v>4253</v>
      </c>
    </row>
    <row r="292" spans="1:8" ht="15" customHeight="1">
      <c r="A292" s="184">
        <f t="shared" si="8"/>
        <v>289</v>
      </c>
      <c r="B292" s="185">
        <v>7472</v>
      </c>
      <c r="C292" s="186" t="s">
        <v>4254</v>
      </c>
      <c r="D292" s="186" t="str">
        <f t="shared" si="9"/>
        <v>CENTAR ZA ODGOJ I OBRAZOVANJE DUBRAVA  (7472)</v>
      </c>
      <c r="E292" s="186" t="s">
        <v>4255</v>
      </c>
      <c r="F292" s="186" t="s">
        <v>25</v>
      </c>
      <c r="G292" s="187">
        <v>3217191</v>
      </c>
      <c r="H292" s="188" t="s">
        <v>4256</v>
      </c>
    </row>
    <row r="293" spans="1:8" ht="15" customHeight="1">
      <c r="A293" s="184">
        <f t="shared" si="8"/>
        <v>290</v>
      </c>
      <c r="B293" s="185">
        <v>7405</v>
      </c>
      <c r="C293" s="186" t="s">
        <v>4257</v>
      </c>
      <c r="D293" s="186" t="str">
        <f t="shared" si="9"/>
        <v>CENTAR ZA ODGOJ I OBRAZOVANJE JURAJ BONAČI (7405)</v>
      </c>
      <c r="E293" s="186" t="s">
        <v>4258</v>
      </c>
      <c r="F293" s="186" t="s">
        <v>176</v>
      </c>
      <c r="G293" s="187">
        <v>3133737</v>
      </c>
      <c r="H293" s="188" t="s">
        <v>4259</v>
      </c>
    </row>
    <row r="294" spans="1:8" ht="15" customHeight="1">
      <c r="A294" s="184">
        <f t="shared" si="8"/>
        <v>291</v>
      </c>
      <c r="B294" s="185">
        <v>7456</v>
      </c>
      <c r="C294" s="186" t="s">
        <v>4260</v>
      </c>
      <c r="D294" s="186" t="str">
        <f t="shared" si="9"/>
        <v>CENTAR ZA ODGOJ I OBRAZOVANJE LUG (7456)</v>
      </c>
      <c r="E294" s="186" t="s">
        <v>4261</v>
      </c>
      <c r="F294" s="186" t="s">
        <v>4262</v>
      </c>
      <c r="G294" s="187">
        <v>3102947</v>
      </c>
      <c r="H294" s="188" t="s">
        <v>4263</v>
      </c>
    </row>
    <row r="295" spans="1:8" ht="15" customHeight="1">
      <c r="A295" s="184">
        <f t="shared" si="8"/>
        <v>292</v>
      </c>
      <c r="B295" s="185">
        <v>7392</v>
      </c>
      <c r="C295" s="186" t="s">
        <v>4264</v>
      </c>
      <c r="D295" s="186" t="str">
        <f t="shared" si="9"/>
        <v>CENTAR ZA ODGOJ I OBRAZOVANJE SLAVA RAŠKAJ SPLIT  (7392)</v>
      </c>
      <c r="E295" s="186" t="s">
        <v>4265</v>
      </c>
      <c r="F295" s="186" t="s">
        <v>176</v>
      </c>
      <c r="G295" s="187">
        <v>3120104</v>
      </c>
      <c r="H295" s="188" t="s">
        <v>4266</v>
      </c>
    </row>
    <row r="296" spans="1:8" ht="15" customHeight="1">
      <c r="A296" s="184">
        <f t="shared" si="8"/>
        <v>293</v>
      </c>
      <c r="B296" s="185">
        <v>7489</v>
      </c>
      <c r="C296" s="186" t="s">
        <v>4267</v>
      </c>
      <c r="D296" s="186" t="str">
        <f t="shared" si="9"/>
        <v>CENTAR ZA ODGOJ I OBRAZOVANJE SLAVA RAŠKAJ ZAGREB (7489)</v>
      </c>
      <c r="E296" s="186" t="s">
        <v>4268</v>
      </c>
      <c r="F296" s="186" t="s">
        <v>25</v>
      </c>
      <c r="G296" s="187">
        <v>3205835</v>
      </c>
      <c r="H296" s="188" t="s">
        <v>4269</v>
      </c>
    </row>
    <row r="297" spans="1:8" ht="15" customHeight="1">
      <c r="A297" s="184">
        <f t="shared" si="8"/>
        <v>294</v>
      </c>
      <c r="B297" s="185">
        <v>7421</v>
      </c>
      <c r="C297" s="186" t="s">
        <v>4270</v>
      </c>
      <c r="D297" s="186" t="str">
        <f t="shared" si="9"/>
        <v>CENTAR ZA ODGOJ I OBRAZOVANJE ŠUBIĆEVAC (7421)</v>
      </c>
      <c r="E297" s="186" t="s">
        <v>4271</v>
      </c>
      <c r="F297" s="186" t="s">
        <v>350</v>
      </c>
      <c r="G297" s="187">
        <v>3019683</v>
      </c>
      <c r="H297" s="188" t="s">
        <v>4272</v>
      </c>
    </row>
    <row r="298" spans="1:8" ht="15" customHeight="1">
      <c r="A298" s="184">
        <f t="shared" si="8"/>
        <v>295</v>
      </c>
      <c r="B298" s="185">
        <v>7528</v>
      </c>
      <c r="C298" s="186" t="s">
        <v>4273</v>
      </c>
      <c r="D298" s="186" t="str">
        <f t="shared" si="9"/>
        <v>CENTAR ZA ODGOJ I OBRAZOVANJE TUŠKANAC (7528)</v>
      </c>
      <c r="E298" s="186" t="s">
        <v>4274</v>
      </c>
      <c r="F298" s="186" t="s">
        <v>25</v>
      </c>
      <c r="G298" s="187">
        <v>3205827</v>
      </c>
      <c r="H298" s="188" t="s">
        <v>4275</v>
      </c>
    </row>
    <row r="299" spans="1:8" ht="15" customHeight="1">
      <c r="A299" s="184">
        <f t="shared" si="8"/>
        <v>296</v>
      </c>
      <c r="B299" s="185">
        <v>7501</v>
      </c>
      <c r="C299" s="186" t="s">
        <v>4276</v>
      </c>
      <c r="D299" s="186" t="str">
        <f t="shared" si="9"/>
        <v>CENTAR ZA ODGOJ I OBRAZOVANJE VELIKA GORICA  (7501)</v>
      </c>
      <c r="E299" s="186" t="s">
        <v>4277</v>
      </c>
      <c r="F299" s="186" t="s">
        <v>3794</v>
      </c>
      <c r="G299" s="187">
        <v>3216284</v>
      </c>
      <c r="H299" s="188" t="s">
        <v>4278</v>
      </c>
    </row>
    <row r="300" spans="1:8" ht="15" customHeight="1">
      <c r="A300" s="184">
        <f t="shared" si="8"/>
        <v>297</v>
      </c>
      <c r="B300" s="185">
        <v>7497</v>
      </c>
      <c r="C300" s="186" t="s">
        <v>4279</v>
      </c>
      <c r="D300" s="186" t="str">
        <f t="shared" si="9"/>
        <v>CENTAR ZA ODGOJ I OBRAZOVANJE VINKO BEK (7497)</v>
      </c>
      <c r="E300" s="186" t="s">
        <v>4280</v>
      </c>
      <c r="F300" s="186" t="s">
        <v>25</v>
      </c>
      <c r="G300" s="187">
        <v>3205819</v>
      </c>
      <c r="H300" s="188" t="s">
        <v>4281</v>
      </c>
    </row>
    <row r="301" spans="1:8" ht="15" customHeight="1">
      <c r="A301" s="184">
        <f t="shared" si="8"/>
        <v>298</v>
      </c>
      <c r="B301" s="185">
        <v>7536</v>
      </c>
      <c r="C301" s="186" t="s">
        <v>4282</v>
      </c>
      <c r="D301" s="186" t="str">
        <f t="shared" si="9"/>
        <v>CENTAR ZA ODGOJ I OBRAZOVANJE ZAJEZDA (7536)</v>
      </c>
      <c r="E301" s="186" t="s">
        <v>4283</v>
      </c>
      <c r="F301" s="186" t="s">
        <v>4284</v>
      </c>
      <c r="G301" s="187">
        <v>3126862</v>
      </c>
      <c r="H301" s="188" t="s">
        <v>4285</v>
      </c>
    </row>
    <row r="302" spans="1:8" ht="15" customHeight="1">
      <c r="A302" s="184">
        <f t="shared" si="8"/>
        <v>299</v>
      </c>
      <c r="B302" s="185">
        <v>48402</v>
      </c>
      <c r="C302" s="186" t="s">
        <v>4286</v>
      </c>
      <c r="D302" s="186" t="str">
        <f t="shared" si="9"/>
        <v>CENTAR ZA POSEBNO SKRBNIŠTVO (48402)</v>
      </c>
      <c r="E302" s="186" t="s">
        <v>4287</v>
      </c>
      <c r="F302" s="186" t="s">
        <v>25</v>
      </c>
      <c r="G302" s="187">
        <v>4250257</v>
      </c>
      <c r="H302" s="188" t="s">
        <v>4288</v>
      </c>
    </row>
    <row r="303" spans="1:8" ht="15" customHeight="1">
      <c r="A303" s="184">
        <f t="shared" si="8"/>
        <v>300</v>
      </c>
      <c r="B303" s="185">
        <v>7163</v>
      </c>
      <c r="C303" s="186" t="s">
        <v>4289</v>
      </c>
      <c r="D303" s="186" t="str">
        <f t="shared" si="9"/>
        <v>CENTAR ZA PRUŽANJE USLUGA U ZAJEDNICI IZVOR, SELCE (7163)</v>
      </c>
      <c r="E303" s="186" t="s">
        <v>4290</v>
      </c>
      <c r="F303" s="186" t="s">
        <v>4291</v>
      </c>
      <c r="G303" s="187">
        <v>3148637</v>
      </c>
      <c r="H303" s="188" t="s">
        <v>4292</v>
      </c>
    </row>
    <row r="304" spans="1:8" ht="15" customHeight="1">
      <c r="A304" s="184">
        <f t="shared" si="8"/>
        <v>301</v>
      </c>
      <c r="B304" s="185">
        <v>7147</v>
      </c>
      <c r="C304" s="186" t="s">
        <v>4293</v>
      </c>
      <c r="D304" s="186" t="str">
        <f t="shared" si="9"/>
        <v>CENTAR ZA PRUŽANJE USLUGA U ZAJEDNICI KLASJE OSIJEK (7147)</v>
      </c>
      <c r="E304" s="186" t="s">
        <v>4294</v>
      </c>
      <c r="F304" s="186" t="s">
        <v>45</v>
      </c>
      <c r="G304" s="187">
        <v>3014410</v>
      </c>
      <c r="H304" s="188" t="s">
        <v>4295</v>
      </c>
    </row>
    <row r="305" spans="1:8" ht="15" customHeight="1">
      <c r="A305" s="184">
        <f t="shared" si="8"/>
        <v>302</v>
      </c>
      <c r="B305" s="185">
        <v>7180</v>
      </c>
      <c r="C305" s="186" t="s">
        <v>4296</v>
      </c>
      <c r="D305" s="186" t="str">
        <f t="shared" si="9"/>
        <v>CENTAR ZA PRUŽANJE USLUGA U ZAJEDNICI KUĆA SRETNIH CIGLICA, SLAVONSKI BROD (7180)</v>
      </c>
      <c r="E305" s="195" t="s">
        <v>4297</v>
      </c>
      <c r="F305" s="195" t="s">
        <v>172</v>
      </c>
      <c r="G305" s="187">
        <v>3071332</v>
      </c>
      <c r="H305" s="188" t="s">
        <v>4298</v>
      </c>
    </row>
    <row r="306" spans="1:8" ht="15" customHeight="1">
      <c r="A306" s="184">
        <f t="shared" si="8"/>
        <v>303</v>
      </c>
      <c r="B306" s="185">
        <v>7114</v>
      </c>
      <c r="C306" s="186" t="s">
        <v>4299</v>
      </c>
      <c r="D306" s="186" t="str">
        <f t="shared" si="9"/>
        <v>CENTAR ZA PRUŽANJE USLUGA U ZAJEDNICI LIPIK (7114)</v>
      </c>
      <c r="E306" s="186" t="s">
        <v>4300</v>
      </c>
      <c r="F306" s="186" t="s">
        <v>4301</v>
      </c>
      <c r="G306" s="187">
        <v>3084981</v>
      </c>
      <c r="H306" s="188" t="s">
        <v>4302</v>
      </c>
    </row>
    <row r="307" spans="1:8" ht="15" customHeight="1">
      <c r="A307" s="184">
        <f t="shared" si="8"/>
        <v>304</v>
      </c>
      <c r="B307" s="185">
        <v>52305</v>
      </c>
      <c r="C307" s="186" t="s">
        <v>4303</v>
      </c>
      <c r="D307" s="186" t="str">
        <f t="shared" si="9"/>
        <v>CENTAR ZA PRUŽANJE USLUGA U ZAJEDNICI MOCIRE (52305)</v>
      </c>
      <c r="E307" s="186" t="s">
        <v>4304</v>
      </c>
      <c r="F307" s="186" t="s">
        <v>218</v>
      </c>
      <c r="G307" s="187">
        <v>5343020</v>
      </c>
      <c r="H307" s="188" t="s">
        <v>4305</v>
      </c>
    </row>
    <row r="308" spans="1:8" ht="15" customHeight="1">
      <c r="A308" s="184">
        <f t="shared" si="8"/>
        <v>305</v>
      </c>
      <c r="B308" s="185">
        <v>7761</v>
      </c>
      <c r="C308" s="186" t="s">
        <v>4306</v>
      </c>
      <c r="D308" s="186" t="str">
        <f t="shared" si="9"/>
        <v>CENTAR ZA PRUŽANJE USLUGA U ZAJEDNICI OSIJEK - JA KAO I TI (7761)</v>
      </c>
      <c r="E308" s="186" t="s">
        <v>4307</v>
      </c>
      <c r="F308" s="186" t="s">
        <v>45</v>
      </c>
      <c r="G308" s="187">
        <v>3014452</v>
      </c>
      <c r="H308" s="188" t="s">
        <v>4308</v>
      </c>
    </row>
    <row r="309" spans="1:8" ht="15" customHeight="1">
      <c r="A309" s="184">
        <f t="shared" si="8"/>
        <v>306</v>
      </c>
      <c r="B309" s="185">
        <v>7350</v>
      </c>
      <c r="C309" s="186" t="s">
        <v>4309</v>
      </c>
      <c r="D309" s="186" t="str">
        <f t="shared" si="9"/>
        <v>CENTAR ZA PRUŽANJE USLUGA U ZAJEDNICI OZALJ (7350)</v>
      </c>
      <c r="E309" s="186" t="s">
        <v>4310</v>
      </c>
      <c r="F309" s="186" t="s">
        <v>4311</v>
      </c>
      <c r="G309" s="187">
        <v>3187381</v>
      </c>
      <c r="H309" s="188" t="s">
        <v>4312</v>
      </c>
    </row>
    <row r="310" spans="1:8" ht="15" customHeight="1">
      <c r="A310" s="184">
        <f t="shared" si="8"/>
        <v>307</v>
      </c>
      <c r="B310" s="185">
        <v>7309</v>
      </c>
      <c r="C310" s="186" t="s">
        <v>4313</v>
      </c>
      <c r="D310" s="186" t="str">
        <f t="shared" si="9"/>
        <v>CENTAR ZA PRUŽANJE USLUGA U ZAJEDNICI SPLIT (7309)</v>
      </c>
      <c r="E310" s="186" t="s">
        <v>4314</v>
      </c>
      <c r="F310" s="186" t="s">
        <v>176</v>
      </c>
      <c r="G310" s="187">
        <v>3133745</v>
      </c>
      <c r="H310" s="188" t="s">
        <v>4315</v>
      </c>
    </row>
    <row r="311" spans="1:8" ht="15" customHeight="1">
      <c r="A311" s="184">
        <f t="shared" si="8"/>
        <v>308</v>
      </c>
      <c r="B311" s="185">
        <v>7106</v>
      </c>
      <c r="C311" s="186" t="s">
        <v>4316</v>
      </c>
      <c r="D311" s="186" t="str">
        <f t="shared" si="9"/>
        <v>CENTAR ZA PRUŽANJE USLUGA U ZAJEDNICI SVITANJE (7106)</v>
      </c>
      <c r="E311" s="186" t="s">
        <v>4317</v>
      </c>
      <c r="F311" s="186" t="s">
        <v>115</v>
      </c>
      <c r="G311" s="187">
        <v>3009971</v>
      </c>
      <c r="H311" s="188" t="s">
        <v>4318</v>
      </c>
    </row>
    <row r="312" spans="1:8" ht="15" customHeight="1">
      <c r="A312" s="184">
        <f t="shared" si="8"/>
        <v>309</v>
      </c>
      <c r="B312" s="185">
        <v>7091</v>
      </c>
      <c r="C312" s="186" t="s">
        <v>4319</v>
      </c>
      <c r="D312" s="186" t="str">
        <f t="shared" si="9"/>
        <v>CENTAR ZA PRUŽANJE USLUGA U ZAJEDNICI VLADIMIR NAZOR (7091)</v>
      </c>
      <c r="E312" s="186" t="s">
        <v>4320</v>
      </c>
      <c r="F312" s="186" t="s">
        <v>343</v>
      </c>
      <c r="G312" s="187">
        <v>3123464</v>
      </c>
      <c r="H312" s="188" t="s">
        <v>4321</v>
      </c>
    </row>
    <row r="313" spans="1:8" ht="15" customHeight="1">
      <c r="A313" s="184">
        <f t="shared" si="8"/>
        <v>310</v>
      </c>
      <c r="B313" s="185">
        <v>21801</v>
      </c>
      <c r="C313" s="186" t="s">
        <v>4322</v>
      </c>
      <c r="D313" s="186" t="str">
        <f t="shared" si="9"/>
        <v>CENTAR ZA REHABILITACIJU FRA ANTE SEKELEZ (21801)</v>
      </c>
      <c r="E313" s="186" t="s">
        <v>4323</v>
      </c>
      <c r="F313" s="186" t="s">
        <v>4324</v>
      </c>
      <c r="G313" s="187">
        <v>1284797</v>
      </c>
      <c r="H313" s="188" t="s">
        <v>4325</v>
      </c>
    </row>
    <row r="314" spans="1:8" ht="15" customHeight="1">
      <c r="A314" s="184">
        <f t="shared" si="8"/>
        <v>311</v>
      </c>
      <c r="B314" s="185">
        <v>21797</v>
      </c>
      <c r="C314" s="186" t="s">
        <v>4326</v>
      </c>
      <c r="D314" s="186" t="str">
        <f t="shared" si="9"/>
        <v>CENTAR ZA REHABILITACIJU JOSIPOVAC (21797)</v>
      </c>
      <c r="E314" s="186" t="s">
        <v>4327</v>
      </c>
      <c r="F314" s="186" t="s">
        <v>4328</v>
      </c>
      <c r="G314" s="187">
        <v>1151703</v>
      </c>
      <c r="H314" s="188" t="s">
        <v>4329</v>
      </c>
    </row>
    <row r="315" spans="1:8" ht="24">
      <c r="A315" s="184">
        <f t="shared" ref="A315:A378" si="10">+A314+1</f>
        <v>312</v>
      </c>
      <c r="B315" s="185">
        <v>45986</v>
      </c>
      <c r="C315" s="186" t="s">
        <v>4330</v>
      </c>
      <c r="D315" s="186" t="str">
        <f t="shared" si="9"/>
        <v>CENTAR ZA REHABILITACIJU KOMAREVO (45986)</v>
      </c>
      <c r="E315" s="186" t="s">
        <v>4331</v>
      </c>
      <c r="F315" s="186" t="s">
        <v>4332</v>
      </c>
      <c r="G315" s="187">
        <v>2506327</v>
      </c>
      <c r="H315" s="188" t="s">
        <v>4333</v>
      </c>
    </row>
    <row r="316" spans="1:8" ht="15" customHeight="1">
      <c r="A316" s="184">
        <f t="shared" si="10"/>
        <v>313</v>
      </c>
      <c r="B316" s="185">
        <v>26555</v>
      </c>
      <c r="C316" s="186" t="s">
        <v>4334</v>
      </c>
      <c r="D316" s="186" t="str">
        <f t="shared" si="9"/>
        <v>CENTAR ZA REHABILITACIJU MALA TEREZIJA (26555)</v>
      </c>
      <c r="E316" s="186" t="s">
        <v>4335</v>
      </c>
      <c r="F316" s="186" t="s">
        <v>4336</v>
      </c>
      <c r="G316" s="187">
        <v>1738925</v>
      </c>
      <c r="H316" s="188" t="s">
        <v>4337</v>
      </c>
    </row>
    <row r="317" spans="1:8" ht="15" customHeight="1">
      <c r="A317" s="184">
        <f t="shared" si="10"/>
        <v>314</v>
      </c>
      <c r="B317" s="185">
        <v>21810</v>
      </c>
      <c r="C317" s="186" t="s">
        <v>4338</v>
      </c>
      <c r="D317" s="186" t="str">
        <f t="shared" si="9"/>
        <v>CENTAR ZA REHABILITACIJU MIR (21810)</v>
      </c>
      <c r="E317" s="186" t="s">
        <v>4339</v>
      </c>
      <c r="F317" s="186" t="s">
        <v>4340</v>
      </c>
      <c r="G317" s="187">
        <v>1284789</v>
      </c>
      <c r="H317" s="188" t="s">
        <v>4341</v>
      </c>
    </row>
    <row r="318" spans="1:8" ht="15" customHeight="1">
      <c r="A318" s="184">
        <f t="shared" si="10"/>
        <v>315</v>
      </c>
      <c r="B318" s="185">
        <v>7430</v>
      </c>
      <c r="C318" s="186" t="s">
        <v>4342</v>
      </c>
      <c r="D318" s="186" t="str">
        <f t="shared" si="9"/>
        <v>CENTAR ZA REHABILITACIJU PULA  (7430)</v>
      </c>
      <c r="E318" s="186" t="s">
        <v>4343</v>
      </c>
      <c r="F318" s="186" t="s">
        <v>110</v>
      </c>
      <c r="G318" s="187">
        <v>3549496</v>
      </c>
      <c r="H318" s="188" t="s">
        <v>4344</v>
      </c>
    </row>
    <row r="319" spans="1:8" ht="15" customHeight="1">
      <c r="A319" s="184">
        <f t="shared" si="10"/>
        <v>316</v>
      </c>
      <c r="B319" s="185">
        <v>7384</v>
      </c>
      <c r="C319" s="186" t="s">
        <v>4345</v>
      </c>
      <c r="D319" s="186" t="str">
        <f t="shared" si="9"/>
        <v>CENTAR ZA REHABILITACIJU RIJEKA (7384)</v>
      </c>
      <c r="E319" s="186" t="s">
        <v>4346</v>
      </c>
      <c r="F319" s="186" t="s">
        <v>126</v>
      </c>
      <c r="G319" s="187">
        <v>3417778</v>
      </c>
      <c r="H319" s="188" t="s">
        <v>4347</v>
      </c>
    </row>
    <row r="320" spans="1:8" ht="15" customHeight="1">
      <c r="A320" s="184">
        <f t="shared" si="10"/>
        <v>317</v>
      </c>
      <c r="B320" s="185">
        <v>21789</v>
      </c>
      <c r="C320" s="186" t="s">
        <v>4348</v>
      </c>
      <c r="D320" s="186" t="str">
        <f t="shared" si="9"/>
        <v>CENTAR ZA REHABILITACIJU SAMARITANAC SPLIT (21789)</v>
      </c>
      <c r="E320" s="186" t="s">
        <v>4349</v>
      </c>
      <c r="F320" s="186" t="s">
        <v>176</v>
      </c>
      <c r="G320" s="187">
        <v>1140370</v>
      </c>
      <c r="H320" s="188" t="s">
        <v>4350</v>
      </c>
    </row>
    <row r="321" spans="1:8" ht="15" customHeight="1">
      <c r="A321" s="184">
        <f t="shared" si="10"/>
        <v>318</v>
      </c>
      <c r="B321" s="185">
        <v>7413</v>
      </c>
      <c r="C321" s="186" t="s">
        <v>4351</v>
      </c>
      <c r="D321" s="186" t="str">
        <f t="shared" si="9"/>
        <v>CENTAR ZA REHABILITACIJU STANČIĆ (7413)</v>
      </c>
      <c r="E321" s="186" t="s">
        <v>4352</v>
      </c>
      <c r="F321" s="186" t="s">
        <v>4353</v>
      </c>
      <c r="G321" s="187">
        <v>3348431</v>
      </c>
      <c r="H321" s="188" t="s">
        <v>4354</v>
      </c>
    </row>
    <row r="322" spans="1:8" ht="15" customHeight="1">
      <c r="A322" s="184">
        <f t="shared" si="10"/>
        <v>319</v>
      </c>
      <c r="B322" s="185">
        <v>7341</v>
      </c>
      <c r="C322" s="186" t="s">
        <v>4355</v>
      </c>
      <c r="D322" s="186" t="str">
        <f t="shared" si="9"/>
        <v>CENTAR ZA REHABILITACIJU SVETI FILIP I JAKOV (7341)</v>
      </c>
      <c r="E322" s="186" t="s">
        <v>4356</v>
      </c>
      <c r="F322" s="186" t="s">
        <v>4357</v>
      </c>
      <c r="G322" s="187">
        <v>3334392</v>
      </c>
      <c r="H322" s="188" t="s">
        <v>4358</v>
      </c>
    </row>
    <row r="323" spans="1:8" ht="15" customHeight="1">
      <c r="A323" s="184">
        <f t="shared" si="10"/>
        <v>320</v>
      </c>
      <c r="B323" s="185">
        <v>7464</v>
      </c>
      <c r="C323" s="186" t="s">
        <v>4359</v>
      </c>
      <c r="D323" s="186" t="str">
        <f t="shared" si="9"/>
        <v>CENTAR ZA REHABILITACIJU ZAGREB (7464)</v>
      </c>
      <c r="E323" s="186" t="s">
        <v>4360</v>
      </c>
      <c r="F323" s="186" t="s">
        <v>25</v>
      </c>
      <c r="G323" s="187">
        <v>3256251</v>
      </c>
      <c r="H323" s="188" t="s">
        <v>4361</v>
      </c>
    </row>
    <row r="324" spans="1:8" ht="15" customHeight="1">
      <c r="A324" s="184">
        <f t="shared" si="10"/>
        <v>321</v>
      </c>
      <c r="B324" s="185">
        <v>6187</v>
      </c>
      <c r="C324" s="186" t="s">
        <v>4362</v>
      </c>
      <c r="D324" s="186" t="str">
        <f t="shared" ref="D324:D387" si="11">C324&amp;" ("&amp;B324&amp;")"</f>
        <v>CENTAR ZA SOCIJALNU SKRB BELI MANASTIR (6187)</v>
      </c>
      <c r="E324" s="186" t="s">
        <v>4363</v>
      </c>
      <c r="F324" s="186" t="s">
        <v>4364</v>
      </c>
      <c r="G324" s="187">
        <v>2872692</v>
      </c>
      <c r="H324" s="188" t="s">
        <v>4365</v>
      </c>
    </row>
    <row r="325" spans="1:8" ht="15" customHeight="1">
      <c r="A325" s="184">
        <f t="shared" si="10"/>
        <v>322</v>
      </c>
      <c r="B325" s="185">
        <v>6195</v>
      </c>
      <c r="C325" s="186" t="s">
        <v>4366</v>
      </c>
      <c r="D325" s="186" t="str">
        <f t="shared" si="11"/>
        <v>CENTAR ZA SOCIJALNU SKRB BENKOVAC (6195)</v>
      </c>
      <c r="E325" s="186" t="s">
        <v>4367</v>
      </c>
      <c r="F325" s="186" t="s">
        <v>4368</v>
      </c>
      <c r="G325" s="187">
        <v>2884321</v>
      </c>
      <c r="H325" s="188" t="s">
        <v>4369</v>
      </c>
    </row>
    <row r="326" spans="1:8" ht="15" customHeight="1">
      <c r="A326" s="184">
        <f t="shared" si="10"/>
        <v>323</v>
      </c>
      <c r="B326" s="185">
        <v>6200</v>
      </c>
      <c r="C326" s="186" t="s">
        <v>4370</v>
      </c>
      <c r="D326" s="186" t="str">
        <f t="shared" si="11"/>
        <v>CENTAR ZA SOCIJALNU SKRB BIOGRAD NA MORU  (6200)</v>
      </c>
      <c r="E326" s="186" t="s">
        <v>4371</v>
      </c>
      <c r="F326" s="186" t="s">
        <v>4372</v>
      </c>
      <c r="G326" s="187">
        <v>2884330</v>
      </c>
      <c r="H326" s="188" t="s">
        <v>4373</v>
      </c>
    </row>
    <row r="327" spans="1:8" ht="15" customHeight="1">
      <c r="A327" s="184">
        <f t="shared" si="10"/>
        <v>324</v>
      </c>
      <c r="B327" s="185">
        <v>6218</v>
      </c>
      <c r="C327" s="186" t="s">
        <v>4374</v>
      </c>
      <c r="D327" s="186" t="str">
        <f t="shared" si="11"/>
        <v>CENTAR ZA SOCIJALNU SKRB BJELOVAR (6218)</v>
      </c>
      <c r="E327" s="186" t="s">
        <v>4375</v>
      </c>
      <c r="F327" s="186" t="s">
        <v>3864</v>
      </c>
      <c r="G327" s="187">
        <v>2873761</v>
      </c>
      <c r="H327" s="188" t="s">
        <v>4376</v>
      </c>
    </row>
    <row r="328" spans="1:8" ht="15" customHeight="1">
      <c r="A328" s="184">
        <f t="shared" si="10"/>
        <v>325</v>
      </c>
      <c r="B328" s="185">
        <v>6226</v>
      </c>
      <c r="C328" s="186" t="s">
        <v>4377</v>
      </c>
      <c r="D328" s="186" t="str">
        <f t="shared" si="11"/>
        <v>CENTAR ZA SOCIJALNU SKRB BRAČ - SUPETAR (6226)</v>
      </c>
      <c r="E328" s="186" t="s">
        <v>4378</v>
      </c>
      <c r="F328" s="186" t="s">
        <v>4379</v>
      </c>
      <c r="G328" s="187">
        <v>2882736</v>
      </c>
      <c r="H328" s="188" t="s">
        <v>4380</v>
      </c>
    </row>
    <row r="329" spans="1:8" ht="15" customHeight="1">
      <c r="A329" s="184">
        <f t="shared" si="10"/>
        <v>326</v>
      </c>
      <c r="B329" s="185">
        <v>6234</v>
      </c>
      <c r="C329" s="186" t="s">
        <v>4381</v>
      </c>
      <c r="D329" s="186" t="str">
        <f t="shared" si="11"/>
        <v>CENTAR ZA SOCIJALNU SKRB BUJE, CENTRO DI ASSISTENZA SOCIALE DI BUIE (6234)</v>
      </c>
      <c r="E329" s="186" t="s">
        <v>4382</v>
      </c>
      <c r="F329" s="186" t="s">
        <v>4383</v>
      </c>
      <c r="G329" s="187">
        <v>2883341</v>
      </c>
      <c r="H329" s="188" t="s">
        <v>4384</v>
      </c>
    </row>
    <row r="330" spans="1:8" ht="15" customHeight="1">
      <c r="A330" s="184">
        <f t="shared" si="10"/>
        <v>327</v>
      </c>
      <c r="B330" s="185">
        <v>6541</v>
      </c>
      <c r="C330" s="186" t="s">
        <v>4385</v>
      </c>
      <c r="D330" s="186" t="str">
        <f t="shared" si="11"/>
        <v>CENTAR ZA SOCIJALNU SKRB CRES-LOŠINJ (6541)</v>
      </c>
      <c r="E330" s="186" t="s">
        <v>4386</v>
      </c>
      <c r="F330" s="186" t="s">
        <v>4387</v>
      </c>
      <c r="G330" s="187">
        <v>2883708</v>
      </c>
      <c r="H330" s="188" t="s">
        <v>4388</v>
      </c>
    </row>
    <row r="331" spans="1:8" ht="15" customHeight="1">
      <c r="A331" s="184">
        <f t="shared" si="10"/>
        <v>328</v>
      </c>
      <c r="B331" s="185">
        <v>6242</v>
      </c>
      <c r="C331" s="186" t="s">
        <v>4389</v>
      </c>
      <c r="D331" s="186" t="str">
        <f t="shared" si="11"/>
        <v>CENTAR ZA SOCIJALNU SKRB CRIKVENICA (6242)</v>
      </c>
      <c r="E331" s="186" t="s">
        <v>4390</v>
      </c>
      <c r="F331" s="186" t="s">
        <v>4391</v>
      </c>
      <c r="G331" s="187">
        <v>2883694</v>
      </c>
      <c r="H331" s="188" t="s">
        <v>4392</v>
      </c>
    </row>
    <row r="332" spans="1:8" ht="15" customHeight="1">
      <c r="A332" s="184">
        <f t="shared" si="10"/>
        <v>329</v>
      </c>
      <c r="B332" s="185">
        <v>6259</v>
      </c>
      <c r="C332" s="186" t="s">
        <v>4393</v>
      </c>
      <c r="D332" s="186" t="str">
        <f t="shared" si="11"/>
        <v>CENTAR ZA SOCIJALNU SKRB ČAKOVEC  (6259)</v>
      </c>
      <c r="E332" s="186" t="s">
        <v>4394</v>
      </c>
      <c r="F332" s="186" t="s">
        <v>40</v>
      </c>
      <c r="G332" s="187">
        <v>2874687</v>
      </c>
      <c r="H332" s="188" t="s">
        <v>4395</v>
      </c>
    </row>
    <row r="333" spans="1:8" ht="15" customHeight="1">
      <c r="A333" s="184">
        <f t="shared" si="10"/>
        <v>330</v>
      </c>
      <c r="B333" s="185">
        <v>6267</v>
      </c>
      <c r="C333" s="186" t="s">
        <v>4396</v>
      </c>
      <c r="D333" s="186" t="str">
        <f t="shared" si="11"/>
        <v>CENTAR ZA SOCIJALNU SKRB ČAZMA  (6267)</v>
      </c>
      <c r="E333" s="186" t="s">
        <v>4397</v>
      </c>
      <c r="F333" s="186" t="s">
        <v>4398</v>
      </c>
      <c r="G333" s="187">
        <v>2873788</v>
      </c>
      <c r="H333" s="188" t="s">
        <v>4399</v>
      </c>
    </row>
    <row r="334" spans="1:8" ht="15" customHeight="1">
      <c r="A334" s="184">
        <f t="shared" si="10"/>
        <v>331</v>
      </c>
      <c r="B334" s="185">
        <v>6275</v>
      </c>
      <c r="C334" s="186" t="s">
        <v>4400</v>
      </c>
      <c r="D334" s="186" t="str">
        <f t="shared" si="11"/>
        <v>CENTAR ZA SOCIJALNU SKRB DARUVAR  (6275)</v>
      </c>
      <c r="E334" s="186" t="s">
        <v>4401</v>
      </c>
      <c r="F334" s="186" t="s">
        <v>4252</v>
      </c>
      <c r="G334" s="187">
        <v>2873796</v>
      </c>
      <c r="H334" s="188" t="s">
        <v>4402</v>
      </c>
    </row>
    <row r="335" spans="1:8" ht="15" customHeight="1">
      <c r="A335" s="184">
        <f t="shared" si="10"/>
        <v>332</v>
      </c>
      <c r="B335" s="185">
        <v>6291</v>
      </c>
      <c r="C335" s="186" t="s">
        <v>4403</v>
      </c>
      <c r="D335" s="186" t="str">
        <f t="shared" si="11"/>
        <v>CENTAR ZA SOCIJALNU SKRB DONJA STUBICA  (6291)</v>
      </c>
      <c r="E335" s="186" t="s">
        <v>4404</v>
      </c>
      <c r="F335" s="186" t="s">
        <v>4405</v>
      </c>
      <c r="G335" s="187">
        <v>2877457</v>
      </c>
      <c r="H335" s="188" t="s">
        <v>4406</v>
      </c>
    </row>
    <row r="336" spans="1:8" ht="15" customHeight="1">
      <c r="A336" s="184">
        <f t="shared" si="10"/>
        <v>333</v>
      </c>
      <c r="B336" s="185">
        <v>6306</v>
      </c>
      <c r="C336" s="186" t="s">
        <v>4407</v>
      </c>
      <c r="D336" s="186" t="str">
        <f t="shared" si="11"/>
        <v>CENTAR ZA SOCIJALNU SKRB DONJI MIHOLJAC (6306)</v>
      </c>
      <c r="E336" s="186" t="s">
        <v>4408</v>
      </c>
      <c r="F336" s="186" t="s">
        <v>4409</v>
      </c>
      <c r="G336" s="187">
        <v>2872722</v>
      </c>
      <c r="H336" s="188" t="s">
        <v>4410</v>
      </c>
    </row>
    <row r="337" spans="1:8" ht="15" customHeight="1">
      <c r="A337" s="184">
        <f t="shared" si="10"/>
        <v>334</v>
      </c>
      <c r="B337" s="185">
        <v>21692</v>
      </c>
      <c r="C337" s="186" t="s">
        <v>4411</v>
      </c>
      <c r="D337" s="186" t="str">
        <f t="shared" si="11"/>
        <v>CENTAR ZA SOCIJALNU SKRB DRNIŠ (21692)</v>
      </c>
      <c r="E337" s="186" t="s">
        <v>4412</v>
      </c>
      <c r="F337" s="186" t="s">
        <v>4413</v>
      </c>
      <c r="G337" s="187">
        <v>2882027</v>
      </c>
      <c r="H337" s="188" t="s">
        <v>4414</v>
      </c>
    </row>
    <row r="338" spans="1:8" ht="15" customHeight="1">
      <c r="A338" s="184">
        <f t="shared" si="10"/>
        <v>335</v>
      </c>
      <c r="B338" s="185">
        <v>6314</v>
      </c>
      <c r="C338" s="186" t="s">
        <v>4415</v>
      </c>
      <c r="D338" s="186" t="str">
        <f t="shared" si="11"/>
        <v>CENTAR ZA SOCIJALNU SKRB DUBROVNIK (6314)</v>
      </c>
      <c r="E338" s="186" t="s">
        <v>4416</v>
      </c>
      <c r="F338" s="186" t="s">
        <v>120</v>
      </c>
      <c r="G338" s="187">
        <v>2882302</v>
      </c>
      <c r="H338" s="188" t="s">
        <v>4417</v>
      </c>
    </row>
    <row r="339" spans="1:8" ht="15" customHeight="1">
      <c r="A339" s="184">
        <f t="shared" si="10"/>
        <v>336</v>
      </c>
      <c r="B339" s="185">
        <v>6322</v>
      </c>
      <c r="C339" s="186" t="s">
        <v>4418</v>
      </c>
      <c r="D339" s="186" t="str">
        <f t="shared" si="11"/>
        <v>CENTAR ZA SOCIJALNU SKRB DUGA RESA (6322)</v>
      </c>
      <c r="E339" s="186" t="s">
        <v>4419</v>
      </c>
      <c r="F339" s="186" t="s">
        <v>4420</v>
      </c>
      <c r="G339" s="187">
        <v>2883015</v>
      </c>
      <c r="H339" s="188" t="s">
        <v>4421</v>
      </c>
    </row>
    <row r="340" spans="1:8" ht="15" customHeight="1">
      <c r="A340" s="184">
        <f t="shared" si="10"/>
        <v>337</v>
      </c>
      <c r="B340" s="185">
        <v>6339</v>
      </c>
      <c r="C340" s="186" t="s">
        <v>4422</v>
      </c>
      <c r="D340" s="186" t="str">
        <f t="shared" si="11"/>
        <v>CENTAR ZA SOCIJALNU SKRB DUGO SELO (6339)</v>
      </c>
      <c r="E340" s="186" t="s">
        <v>4423</v>
      </c>
      <c r="F340" s="186" t="s">
        <v>4424</v>
      </c>
      <c r="G340" s="187">
        <v>2873125</v>
      </c>
      <c r="H340" s="188" t="s">
        <v>4425</v>
      </c>
    </row>
    <row r="341" spans="1:8" ht="15" customHeight="1">
      <c r="A341" s="184">
        <f t="shared" si="10"/>
        <v>338</v>
      </c>
      <c r="B341" s="185">
        <v>6347</v>
      </c>
      <c r="C341" s="186" t="s">
        <v>4426</v>
      </c>
      <c r="D341" s="186" t="str">
        <f t="shared" si="11"/>
        <v>CENTAR ZA SOCIJALNU SKRB ĐAKOVO (6347)</v>
      </c>
      <c r="E341" s="186" t="s">
        <v>4427</v>
      </c>
      <c r="F341" s="186" t="s">
        <v>87</v>
      </c>
      <c r="G341" s="187">
        <v>2872706</v>
      </c>
      <c r="H341" s="188" t="s">
        <v>4428</v>
      </c>
    </row>
    <row r="342" spans="1:8" ht="15" customHeight="1">
      <c r="A342" s="184">
        <f t="shared" si="10"/>
        <v>339</v>
      </c>
      <c r="B342" s="185">
        <v>6355</v>
      </c>
      <c r="C342" s="186" t="s">
        <v>4429</v>
      </c>
      <c r="D342" s="186" t="str">
        <f t="shared" si="11"/>
        <v>CENTAR ZA SOCIJALNU SKRB ĐURĐEVAC (6355)</v>
      </c>
      <c r="E342" s="186" t="s">
        <v>4430</v>
      </c>
      <c r="F342" s="186" t="s">
        <v>4431</v>
      </c>
      <c r="G342" s="187">
        <v>2873397</v>
      </c>
      <c r="H342" s="188" t="s">
        <v>4432</v>
      </c>
    </row>
    <row r="343" spans="1:8" ht="15" customHeight="1">
      <c r="A343" s="184">
        <f t="shared" si="10"/>
        <v>340</v>
      </c>
      <c r="B343" s="185">
        <v>6363</v>
      </c>
      <c r="C343" s="186" t="s">
        <v>4433</v>
      </c>
      <c r="D343" s="186" t="str">
        <f t="shared" si="11"/>
        <v>CENTAR ZA SOCIJALNU SKRB GAREŠNICA  (6363)</v>
      </c>
      <c r="E343" s="186" t="s">
        <v>4434</v>
      </c>
      <c r="F343" s="186" t="s">
        <v>4435</v>
      </c>
      <c r="G343" s="187">
        <v>2873770</v>
      </c>
      <c r="H343" s="188" t="s">
        <v>4436</v>
      </c>
    </row>
    <row r="344" spans="1:8" ht="15" customHeight="1">
      <c r="A344" s="184">
        <f t="shared" si="10"/>
        <v>341</v>
      </c>
      <c r="B344" s="185">
        <v>21713</v>
      </c>
      <c r="C344" s="186" t="s">
        <v>4437</v>
      </c>
      <c r="D344" s="186" t="str">
        <f t="shared" si="11"/>
        <v>CENTAR ZA SOCIJALNU SKRB GLINA (21713)</v>
      </c>
      <c r="E344" s="186" t="s">
        <v>4438</v>
      </c>
      <c r="F344" s="186" t="s">
        <v>4439</v>
      </c>
      <c r="G344" s="187">
        <v>2883295</v>
      </c>
      <c r="H344" s="188" t="s">
        <v>4440</v>
      </c>
    </row>
    <row r="345" spans="1:8" ht="15" customHeight="1">
      <c r="A345" s="184">
        <f t="shared" si="10"/>
        <v>342</v>
      </c>
      <c r="B345" s="185">
        <v>6371</v>
      </c>
      <c r="C345" s="186" t="s">
        <v>4441</v>
      </c>
      <c r="D345" s="186" t="str">
        <f t="shared" si="11"/>
        <v>CENTAR ZA SOCIJALNU SKRB GOSPIĆ (6371)</v>
      </c>
      <c r="E345" s="186" t="s">
        <v>4442</v>
      </c>
      <c r="F345" s="186" t="s">
        <v>339</v>
      </c>
      <c r="G345" s="187">
        <v>2883643</v>
      </c>
      <c r="H345" s="188" t="s">
        <v>4443</v>
      </c>
    </row>
    <row r="346" spans="1:8" ht="15" customHeight="1">
      <c r="A346" s="184">
        <f t="shared" si="10"/>
        <v>343</v>
      </c>
      <c r="B346" s="185">
        <v>50032</v>
      </c>
      <c r="C346" s="186" t="s">
        <v>4444</v>
      </c>
      <c r="D346" s="186" t="str">
        <f t="shared" si="11"/>
        <v>CENTAR ZA SOCIJALNU SKRB GRUBIŠNO POLJE (50032)</v>
      </c>
      <c r="E346" s="186" t="s">
        <v>4445</v>
      </c>
      <c r="F346" s="186" t="s">
        <v>4446</v>
      </c>
      <c r="G346" s="187">
        <v>4840836</v>
      </c>
      <c r="H346" s="188" t="s">
        <v>4447</v>
      </c>
    </row>
    <row r="347" spans="1:8" ht="24">
      <c r="A347" s="184">
        <f t="shared" si="10"/>
        <v>344</v>
      </c>
      <c r="B347" s="185">
        <v>21748</v>
      </c>
      <c r="C347" s="186" t="s">
        <v>4448</v>
      </c>
      <c r="D347" s="186" t="str">
        <f t="shared" si="11"/>
        <v>CENTAR ZA SOCIJALNU SKRB HRVATSKA KOSTAJNICA (21748)</v>
      </c>
      <c r="E347" s="186" t="s">
        <v>4449</v>
      </c>
      <c r="F347" s="186" t="s">
        <v>4450</v>
      </c>
      <c r="G347" s="187">
        <v>2883287</v>
      </c>
      <c r="H347" s="188" t="s">
        <v>4451</v>
      </c>
    </row>
    <row r="348" spans="1:8" ht="15" customHeight="1">
      <c r="A348" s="184">
        <f t="shared" si="10"/>
        <v>345</v>
      </c>
      <c r="B348" s="185">
        <v>6398</v>
      </c>
      <c r="C348" s="186" t="s">
        <v>4452</v>
      </c>
      <c r="D348" s="186" t="str">
        <f t="shared" si="11"/>
        <v>CENTAR ZA SOCIJALNU SKRB IMOTSKI (6398)</v>
      </c>
      <c r="E348" s="186" t="s">
        <v>4453</v>
      </c>
      <c r="F348" s="186" t="s">
        <v>4454</v>
      </c>
      <c r="G348" s="187">
        <v>2882698</v>
      </c>
      <c r="H348" s="188" t="s">
        <v>4455</v>
      </c>
    </row>
    <row r="349" spans="1:8" ht="15" customHeight="1">
      <c r="A349" s="184">
        <f t="shared" si="10"/>
        <v>346</v>
      </c>
      <c r="B349" s="185">
        <v>6402</v>
      </c>
      <c r="C349" s="186" t="s">
        <v>4456</v>
      </c>
      <c r="D349" s="186" t="str">
        <f t="shared" si="11"/>
        <v>CENTAR ZA SOCIJALNU SKRB IVANEC (6402)</v>
      </c>
      <c r="E349" s="186" t="s">
        <v>4457</v>
      </c>
      <c r="F349" s="186" t="s">
        <v>4458</v>
      </c>
      <c r="G349" s="187">
        <v>2872641</v>
      </c>
      <c r="H349" s="188" t="s">
        <v>4459</v>
      </c>
    </row>
    <row r="350" spans="1:8" ht="15" customHeight="1">
      <c r="A350" s="184">
        <f t="shared" si="10"/>
        <v>347</v>
      </c>
      <c r="B350" s="185">
        <v>6419</v>
      </c>
      <c r="C350" s="186" t="s">
        <v>4460</v>
      </c>
      <c r="D350" s="186" t="str">
        <f t="shared" si="11"/>
        <v>CENTAR ZA SOCIJALNU SKRB IVANIĆ GRAD (6419)</v>
      </c>
      <c r="E350" s="186" t="s">
        <v>4461</v>
      </c>
      <c r="F350" s="186" t="s">
        <v>4462</v>
      </c>
      <c r="G350" s="187">
        <v>2873079</v>
      </c>
      <c r="H350" s="188" t="s">
        <v>4463</v>
      </c>
    </row>
    <row r="351" spans="1:8" ht="15" customHeight="1">
      <c r="A351" s="184">
        <f t="shared" si="10"/>
        <v>348</v>
      </c>
      <c r="B351" s="185">
        <v>6427</v>
      </c>
      <c r="C351" s="186" t="s">
        <v>4464</v>
      </c>
      <c r="D351" s="186" t="str">
        <f t="shared" si="11"/>
        <v>CENTAR ZA SOCIJALNU SKRB JASTREBARSKO (6427)</v>
      </c>
      <c r="E351" s="186" t="s">
        <v>4465</v>
      </c>
      <c r="F351" s="186" t="s">
        <v>376</v>
      </c>
      <c r="G351" s="187">
        <v>2873087</v>
      </c>
      <c r="H351" s="188" t="s">
        <v>4466</v>
      </c>
    </row>
    <row r="352" spans="1:8" ht="15" customHeight="1">
      <c r="A352" s="184">
        <f t="shared" si="10"/>
        <v>349</v>
      </c>
      <c r="B352" s="185">
        <v>6435</v>
      </c>
      <c r="C352" s="186" t="s">
        <v>4467</v>
      </c>
      <c r="D352" s="186" t="str">
        <f t="shared" si="11"/>
        <v>CENTAR ZA SOCIJALNU SKRB KARLOVAC (6435)</v>
      </c>
      <c r="E352" s="186" t="s">
        <v>4468</v>
      </c>
      <c r="F352" s="186" t="s">
        <v>343</v>
      </c>
      <c r="G352" s="187">
        <v>2882981</v>
      </c>
      <c r="H352" s="188" t="s">
        <v>4469</v>
      </c>
    </row>
    <row r="353" spans="1:8" ht="15" customHeight="1">
      <c r="A353" s="184">
        <f t="shared" si="10"/>
        <v>350</v>
      </c>
      <c r="B353" s="185">
        <v>21730</v>
      </c>
      <c r="C353" s="186" t="s">
        <v>4470</v>
      </c>
      <c r="D353" s="186" t="str">
        <f t="shared" si="11"/>
        <v>CENTAR ZA SOCIJALNU SKRB KNIN (21730)</v>
      </c>
      <c r="E353" s="186" t="s">
        <v>4471</v>
      </c>
      <c r="F353" s="186" t="s">
        <v>335</v>
      </c>
      <c r="G353" s="187">
        <v>2882035</v>
      </c>
      <c r="H353" s="188" t="s">
        <v>4472</v>
      </c>
    </row>
    <row r="354" spans="1:8" ht="15" customHeight="1">
      <c r="A354" s="184">
        <f t="shared" si="10"/>
        <v>351</v>
      </c>
      <c r="B354" s="185">
        <v>6451</v>
      </c>
      <c r="C354" s="186" t="s">
        <v>4473</v>
      </c>
      <c r="D354" s="186" t="str">
        <f t="shared" si="11"/>
        <v>CENTAR ZA SOCIJALNU SKRB KOPRIVNICA (6451)</v>
      </c>
      <c r="E354" s="186" t="s">
        <v>4474</v>
      </c>
      <c r="F354" s="186" t="s">
        <v>115</v>
      </c>
      <c r="G354" s="187">
        <v>2873290</v>
      </c>
      <c r="H354" s="188" t="s">
        <v>4475</v>
      </c>
    </row>
    <row r="355" spans="1:8" ht="15" customHeight="1">
      <c r="A355" s="184">
        <f t="shared" si="10"/>
        <v>352</v>
      </c>
      <c r="B355" s="185">
        <v>6460</v>
      </c>
      <c r="C355" s="186" t="s">
        <v>4476</v>
      </c>
      <c r="D355" s="186" t="str">
        <f t="shared" si="11"/>
        <v>CENTAR ZA SOCIJALNU SKRB KORČULA (6460)</v>
      </c>
      <c r="E355" s="186" t="s">
        <v>4477</v>
      </c>
      <c r="F355" s="186" t="s">
        <v>4478</v>
      </c>
      <c r="G355" s="187">
        <v>2882329</v>
      </c>
      <c r="H355" s="188" t="s">
        <v>4479</v>
      </c>
    </row>
    <row r="356" spans="1:8" ht="15" customHeight="1">
      <c r="A356" s="184">
        <f t="shared" si="10"/>
        <v>353</v>
      </c>
      <c r="B356" s="185">
        <v>6478</v>
      </c>
      <c r="C356" s="186" t="s">
        <v>4480</v>
      </c>
      <c r="D356" s="186" t="str">
        <f t="shared" si="11"/>
        <v>CENTAR ZA SOCIJALNU SKRB KRAPINA (6478)</v>
      </c>
      <c r="E356" s="186" t="s">
        <v>4481</v>
      </c>
      <c r="F356" s="186" t="s">
        <v>327</v>
      </c>
      <c r="G356" s="187">
        <v>2877465</v>
      </c>
      <c r="H356" s="188" t="s">
        <v>4482</v>
      </c>
    </row>
    <row r="357" spans="1:8" ht="15" customHeight="1">
      <c r="A357" s="184">
        <f t="shared" si="10"/>
        <v>354</v>
      </c>
      <c r="B357" s="185">
        <v>6486</v>
      </c>
      <c r="C357" s="186" t="s">
        <v>4483</v>
      </c>
      <c r="D357" s="186" t="str">
        <f t="shared" si="11"/>
        <v>CENTAR ZA SOCIJALNU SKRB KRIŽEVCI (6486)</v>
      </c>
      <c r="E357" s="186" t="s">
        <v>4484</v>
      </c>
      <c r="F357" s="186" t="s">
        <v>358</v>
      </c>
      <c r="G357" s="187">
        <v>2873281</v>
      </c>
      <c r="H357" s="188" t="s">
        <v>4485</v>
      </c>
    </row>
    <row r="358" spans="1:8" ht="15" customHeight="1">
      <c r="A358" s="184">
        <f t="shared" si="10"/>
        <v>355</v>
      </c>
      <c r="B358" s="185">
        <v>6494</v>
      </c>
      <c r="C358" s="186" t="s">
        <v>4486</v>
      </c>
      <c r="D358" s="186" t="str">
        <f t="shared" si="11"/>
        <v>CENTAR ZA SOCIJALNU SKRB KRK (6494)</v>
      </c>
      <c r="E358" s="186" t="s">
        <v>4487</v>
      </c>
      <c r="F358" s="186" t="s">
        <v>4488</v>
      </c>
      <c r="G358" s="187">
        <v>2883724</v>
      </c>
      <c r="H358" s="188" t="s">
        <v>4489</v>
      </c>
    </row>
    <row r="359" spans="1:8" ht="15" customHeight="1">
      <c r="A359" s="184">
        <f t="shared" si="10"/>
        <v>356</v>
      </c>
      <c r="B359" s="185">
        <v>6509</v>
      </c>
      <c r="C359" s="186" t="s">
        <v>4490</v>
      </c>
      <c r="D359" s="186" t="str">
        <f t="shared" si="11"/>
        <v>CENTAR ZA SOCIJALNU SKRB KUTINA (6509)</v>
      </c>
      <c r="E359" s="186" t="s">
        <v>4491</v>
      </c>
      <c r="F359" s="186" t="s">
        <v>4492</v>
      </c>
      <c r="G359" s="187">
        <v>2883252</v>
      </c>
      <c r="H359" s="188" t="s">
        <v>4493</v>
      </c>
    </row>
    <row r="360" spans="1:8" ht="15" customHeight="1">
      <c r="A360" s="184">
        <f t="shared" si="10"/>
        <v>357</v>
      </c>
      <c r="B360" s="185">
        <v>6517</v>
      </c>
      <c r="C360" s="186" t="s">
        <v>4494</v>
      </c>
      <c r="D360" s="186" t="str">
        <f t="shared" si="11"/>
        <v>CENTAR ZA SOCIJALNU SKRB LABIN (6517)</v>
      </c>
      <c r="E360" s="186" t="s">
        <v>4495</v>
      </c>
      <c r="F360" s="186" t="s">
        <v>4496</v>
      </c>
      <c r="G360" s="187">
        <v>2883368</v>
      </c>
      <c r="H360" s="188" t="s">
        <v>4497</v>
      </c>
    </row>
    <row r="361" spans="1:8" ht="15" customHeight="1">
      <c r="A361" s="184">
        <f t="shared" si="10"/>
        <v>358</v>
      </c>
      <c r="B361" s="185">
        <v>6525</v>
      </c>
      <c r="C361" s="186" t="s">
        <v>4498</v>
      </c>
      <c r="D361" s="186" t="str">
        <f t="shared" si="11"/>
        <v>CENTAR ZA SOCIJALNU SKRB LUDBREG (6525)</v>
      </c>
      <c r="E361" s="186" t="s">
        <v>4499</v>
      </c>
      <c r="F361" s="186" t="s">
        <v>4500</v>
      </c>
      <c r="G361" s="187">
        <v>2872633</v>
      </c>
      <c r="H361" s="188" t="s">
        <v>4501</v>
      </c>
    </row>
    <row r="362" spans="1:8" ht="15" customHeight="1">
      <c r="A362" s="184">
        <f t="shared" si="10"/>
        <v>359</v>
      </c>
      <c r="B362" s="185">
        <v>6533</v>
      </c>
      <c r="C362" s="186" t="s">
        <v>4502</v>
      </c>
      <c r="D362" s="186" t="str">
        <f t="shared" si="11"/>
        <v>CENTAR ZA SOCIJALNU SKRB MAKARSKA (6533)</v>
      </c>
      <c r="E362" s="186" t="s">
        <v>4503</v>
      </c>
      <c r="F362" s="186" t="s">
        <v>4147</v>
      </c>
      <c r="G362" s="187">
        <v>2882744</v>
      </c>
      <c r="H362" s="188" t="s">
        <v>4504</v>
      </c>
    </row>
    <row r="363" spans="1:8" ht="15" customHeight="1">
      <c r="A363" s="184">
        <f t="shared" si="10"/>
        <v>360</v>
      </c>
      <c r="B363" s="185">
        <v>6550</v>
      </c>
      <c r="C363" s="186" t="s">
        <v>4505</v>
      </c>
      <c r="D363" s="186" t="str">
        <f t="shared" si="11"/>
        <v>CENTAR ZA SOCIJALNU SKRB METKOVIĆ  (6550)</v>
      </c>
      <c r="E363" s="186" t="s">
        <v>4506</v>
      </c>
      <c r="F363" s="186" t="s">
        <v>4507</v>
      </c>
      <c r="G363" s="187">
        <v>2882337</v>
      </c>
      <c r="H363" s="188" t="s">
        <v>4508</v>
      </c>
    </row>
    <row r="364" spans="1:8" ht="15" customHeight="1">
      <c r="A364" s="184">
        <f t="shared" si="10"/>
        <v>361</v>
      </c>
      <c r="B364" s="185">
        <v>6568</v>
      </c>
      <c r="C364" s="186" t="s">
        <v>4509</v>
      </c>
      <c r="D364" s="186" t="str">
        <f t="shared" si="11"/>
        <v>CENTAR ZA SOCIJALNU SKRB NAŠICE (6568)</v>
      </c>
      <c r="E364" s="186" t="s">
        <v>4230</v>
      </c>
      <c r="F364" s="186" t="s">
        <v>4510</v>
      </c>
      <c r="G364" s="187">
        <v>2872684</v>
      </c>
      <c r="H364" s="188" t="s">
        <v>4511</v>
      </c>
    </row>
    <row r="365" spans="1:8" ht="15" customHeight="1">
      <c r="A365" s="184">
        <f t="shared" si="10"/>
        <v>362</v>
      </c>
      <c r="B365" s="185">
        <v>6576</v>
      </c>
      <c r="C365" s="186" t="s">
        <v>4512</v>
      </c>
      <c r="D365" s="186" t="str">
        <f t="shared" si="11"/>
        <v>CENTAR ZA SOCIJALNU SKRB NOVA GRADIŠKA (6576)</v>
      </c>
      <c r="E365" s="186" t="s">
        <v>4513</v>
      </c>
      <c r="F365" s="186" t="s">
        <v>4514</v>
      </c>
      <c r="G365" s="187">
        <v>2872439</v>
      </c>
      <c r="H365" s="188" t="s">
        <v>4515</v>
      </c>
    </row>
    <row r="366" spans="1:8" ht="15" customHeight="1">
      <c r="A366" s="184">
        <f t="shared" si="10"/>
        <v>363</v>
      </c>
      <c r="B366" s="185">
        <v>6584</v>
      </c>
      <c r="C366" s="186" t="s">
        <v>4516</v>
      </c>
      <c r="D366" s="186" t="str">
        <f t="shared" si="11"/>
        <v>CENTAR ZA SOCIJALNU SKRB NOVI MAROF (6584)</v>
      </c>
      <c r="E366" s="186" t="s">
        <v>4517</v>
      </c>
      <c r="F366" s="186" t="s">
        <v>4518</v>
      </c>
      <c r="G366" s="187">
        <v>2872625</v>
      </c>
      <c r="H366" s="188" t="s">
        <v>4519</v>
      </c>
    </row>
    <row r="367" spans="1:8" ht="15" customHeight="1">
      <c r="A367" s="184">
        <f t="shared" si="10"/>
        <v>364</v>
      </c>
      <c r="B367" s="185">
        <v>6592</v>
      </c>
      <c r="C367" s="186" t="s">
        <v>4520</v>
      </c>
      <c r="D367" s="186" t="str">
        <f t="shared" si="11"/>
        <v>CENTAR ZA SOCIJALNU SKRB NOVSKA (6592)</v>
      </c>
      <c r="E367" s="186" t="s">
        <v>4521</v>
      </c>
      <c r="F367" s="186" t="s">
        <v>4522</v>
      </c>
      <c r="G367" s="187">
        <v>2883279</v>
      </c>
      <c r="H367" s="188" t="s">
        <v>4523</v>
      </c>
    </row>
    <row r="368" spans="1:8" ht="15" customHeight="1">
      <c r="A368" s="184">
        <f t="shared" si="10"/>
        <v>365</v>
      </c>
      <c r="B368" s="185">
        <v>22890</v>
      </c>
      <c r="C368" s="186" t="s">
        <v>4524</v>
      </c>
      <c r="D368" s="186" t="str">
        <f t="shared" si="11"/>
        <v>CENTAR ZA SOCIJALNU SKRB OGULIN (22890)</v>
      </c>
      <c r="E368" s="186" t="s">
        <v>4525</v>
      </c>
      <c r="F368" s="186" t="s">
        <v>4526</v>
      </c>
      <c r="G368" s="187">
        <v>2883007</v>
      </c>
      <c r="H368" s="188" t="s">
        <v>4527</v>
      </c>
    </row>
    <row r="369" spans="1:8" ht="15" customHeight="1">
      <c r="A369" s="184">
        <f t="shared" si="10"/>
        <v>366</v>
      </c>
      <c r="B369" s="185">
        <v>6613</v>
      </c>
      <c r="C369" s="186" t="s">
        <v>4528</v>
      </c>
      <c r="D369" s="186" t="str">
        <f t="shared" si="11"/>
        <v>CENTAR ZA SOCIJALNU SKRB OMIŠ (6613)</v>
      </c>
      <c r="E369" s="186" t="s">
        <v>4529</v>
      </c>
      <c r="F369" s="186" t="s">
        <v>4530</v>
      </c>
      <c r="G369" s="187">
        <v>2882728</v>
      </c>
      <c r="H369" s="188" t="s">
        <v>4531</v>
      </c>
    </row>
    <row r="370" spans="1:8" ht="15" customHeight="1">
      <c r="A370" s="184">
        <f t="shared" si="10"/>
        <v>367</v>
      </c>
      <c r="B370" s="185">
        <v>6621</v>
      </c>
      <c r="C370" s="186" t="s">
        <v>4532</v>
      </c>
      <c r="D370" s="186" t="str">
        <f t="shared" si="11"/>
        <v>CENTAR ZA SOCIJALNU SKRB OPATIJA (6621)</v>
      </c>
      <c r="E370" s="186" t="s">
        <v>4533</v>
      </c>
      <c r="F370" s="186" t="s">
        <v>139</v>
      </c>
      <c r="G370" s="187">
        <v>2883716</v>
      </c>
      <c r="H370" s="188" t="s">
        <v>4534</v>
      </c>
    </row>
    <row r="371" spans="1:8" ht="15" customHeight="1">
      <c r="A371" s="184">
        <f t="shared" si="10"/>
        <v>368</v>
      </c>
      <c r="B371" s="185">
        <v>6630</v>
      </c>
      <c r="C371" s="186" t="s">
        <v>4535</v>
      </c>
      <c r="D371" s="186" t="str">
        <f t="shared" si="11"/>
        <v>CENTAR ZA SOCIJALNU SKRB OSIJEK (6630)</v>
      </c>
      <c r="E371" s="186" t="s">
        <v>4536</v>
      </c>
      <c r="F371" s="186" t="s">
        <v>45</v>
      </c>
      <c r="G371" s="187">
        <v>2872676</v>
      </c>
      <c r="H371" s="188" t="s">
        <v>4537</v>
      </c>
    </row>
    <row r="372" spans="1:8" ht="15" customHeight="1">
      <c r="A372" s="184">
        <f t="shared" si="10"/>
        <v>369</v>
      </c>
      <c r="B372" s="185">
        <v>6656</v>
      </c>
      <c r="C372" s="186" t="s">
        <v>4538</v>
      </c>
      <c r="D372" s="186" t="str">
        <f t="shared" si="11"/>
        <v>CENTAR ZA SOCIJALNU SKRB PAKRAC (6656)</v>
      </c>
      <c r="E372" s="186" t="s">
        <v>4539</v>
      </c>
      <c r="F372" s="186" t="s">
        <v>4540</v>
      </c>
      <c r="G372" s="187">
        <v>2873265</v>
      </c>
      <c r="H372" s="188" t="s">
        <v>4541</v>
      </c>
    </row>
    <row r="373" spans="1:8" ht="15" customHeight="1">
      <c r="A373" s="184">
        <f t="shared" si="10"/>
        <v>370</v>
      </c>
      <c r="B373" s="185">
        <v>22111</v>
      </c>
      <c r="C373" s="186" t="s">
        <v>4542</v>
      </c>
      <c r="D373" s="186" t="str">
        <f t="shared" si="11"/>
        <v>CENTAR ZA SOCIJALNU SKRB PAZIN (22111)</v>
      </c>
      <c r="E373" s="186" t="s">
        <v>4543</v>
      </c>
      <c r="F373" s="186" t="s">
        <v>3880</v>
      </c>
      <c r="G373" s="187">
        <v>2883333</v>
      </c>
      <c r="H373" s="188" t="s">
        <v>4544</v>
      </c>
    </row>
    <row r="374" spans="1:8" ht="15" customHeight="1">
      <c r="A374" s="184">
        <f t="shared" si="10"/>
        <v>371</v>
      </c>
      <c r="B374" s="185">
        <v>6672</v>
      </c>
      <c r="C374" s="186" t="s">
        <v>4545</v>
      </c>
      <c r="D374" s="186" t="str">
        <f t="shared" si="11"/>
        <v>CENTAR ZA SOCIJALNU SKRB PETRINJA (6672)</v>
      </c>
      <c r="E374" s="186" t="s">
        <v>4546</v>
      </c>
      <c r="F374" s="186" t="s">
        <v>4547</v>
      </c>
      <c r="G374" s="187">
        <v>2883244</v>
      </c>
      <c r="H374" s="188" t="s">
        <v>4548</v>
      </c>
    </row>
    <row r="375" spans="1:8" ht="15" customHeight="1">
      <c r="A375" s="184">
        <f t="shared" si="10"/>
        <v>372</v>
      </c>
      <c r="B375" s="185">
        <v>6961</v>
      </c>
      <c r="C375" s="186" t="s">
        <v>4549</v>
      </c>
      <c r="D375" s="186" t="str">
        <f t="shared" si="11"/>
        <v>CENTAR ZA SOCIJALNU SKRB PLOČE (6961)</v>
      </c>
      <c r="E375" s="186" t="s">
        <v>4550</v>
      </c>
      <c r="F375" s="186" t="s">
        <v>4076</v>
      </c>
      <c r="G375" s="187">
        <v>2882345</v>
      </c>
      <c r="H375" s="188" t="s">
        <v>4551</v>
      </c>
    </row>
    <row r="376" spans="1:8" ht="15" customHeight="1">
      <c r="A376" s="184">
        <f t="shared" si="10"/>
        <v>373</v>
      </c>
      <c r="B376" s="185">
        <v>6697</v>
      </c>
      <c r="C376" s="186" t="s">
        <v>4552</v>
      </c>
      <c r="D376" s="186" t="str">
        <f t="shared" si="11"/>
        <v>CENTAR ZA SOCIJALNU SKRB POREČ (6697)</v>
      </c>
      <c r="E376" s="186" t="s">
        <v>4553</v>
      </c>
      <c r="F376" s="186" t="s">
        <v>423</v>
      </c>
      <c r="G376" s="187">
        <v>2883350</v>
      </c>
      <c r="H376" s="188" t="s">
        <v>4554</v>
      </c>
    </row>
    <row r="377" spans="1:8" ht="15" customHeight="1">
      <c r="A377" s="184">
        <f t="shared" si="10"/>
        <v>374</v>
      </c>
      <c r="B377" s="185">
        <v>6777</v>
      </c>
      <c r="C377" s="186" t="s">
        <v>4555</v>
      </c>
      <c r="D377" s="186" t="str">
        <f t="shared" si="11"/>
        <v>CENTAR ZA SOCIJALNU SKRB POŽEGA (6777)</v>
      </c>
      <c r="E377" s="186" t="s">
        <v>4556</v>
      </c>
      <c r="F377" s="186" t="s">
        <v>4216</v>
      </c>
      <c r="G377" s="187">
        <v>2873257</v>
      </c>
      <c r="H377" s="188" t="s">
        <v>4557</v>
      </c>
    </row>
    <row r="378" spans="1:8" ht="15" customHeight="1">
      <c r="A378" s="184">
        <f t="shared" si="10"/>
        <v>375</v>
      </c>
      <c r="B378" s="185">
        <v>51749</v>
      </c>
      <c r="C378" s="186" t="s">
        <v>4558</v>
      </c>
      <c r="D378" s="186" t="str">
        <f t="shared" si="11"/>
        <v>CENTAR ZA SOCIJALNU SKRB PRELOG (51749)</v>
      </c>
      <c r="E378" s="186" t="s">
        <v>4559</v>
      </c>
      <c r="F378" s="186" t="s">
        <v>4560</v>
      </c>
      <c r="G378" s="187">
        <v>5344301</v>
      </c>
      <c r="H378" s="188" t="s">
        <v>4561</v>
      </c>
    </row>
    <row r="379" spans="1:8" ht="15" customHeight="1">
      <c r="A379" s="184">
        <f>+A378+1</f>
        <v>376</v>
      </c>
      <c r="B379" s="185">
        <v>6701</v>
      </c>
      <c r="C379" s="186" t="s">
        <v>4562</v>
      </c>
      <c r="D379" s="186" t="str">
        <f t="shared" si="11"/>
        <v>CENTAR ZA SOCIJALNU SKRB PULA-POLA (6701)</v>
      </c>
      <c r="E379" s="186" t="s">
        <v>4563</v>
      </c>
      <c r="F379" s="186" t="s">
        <v>110</v>
      </c>
      <c r="G379" s="187">
        <v>2883384</v>
      </c>
      <c r="H379" s="188" t="s">
        <v>4564</v>
      </c>
    </row>
    <row r="380" spans="1:8" ht="15" customHeight="1">
      <c r="A380" s="184">
        <f t="shared" ref="A380:A443" si="12">+A379+1</f>
        <v>377</v>
      </c>
      <c r="B380" s="185">
        <v>6710</v>
      </c>
      <c r="C380" s="186" t="s">
        <v>4565</v>
      </c>
      <c r="D380" s="186" t="str">
        <f t="shared" si="11"/>
        <v>CENTAR ZA SOCIJALNU SKRB RIJEKA (6710)</v>
      </c>
      <c r="E380" s="186" t="s">
        <v>4566</v>
      </c>
      <c r="F380" s="186" t="s">
        <v>126</v>
      </c>
      <c r="G380" s="187">
        <v>2883686</v>
      </c>
      <c r="H380" s="188" t="s">
        <v>4567</v>
      </c>
    </row>
    <row r="381" spans="1:8" ht="15" customHeight="1">
      <c r="A381" s="184">
        <f t="shared" si="12"/>
        <v>378</v>
      </c>
      <c r="B381" s="185">
        <v>6728</v>
      </c>
      <c r="C381" s="186" t="s">
        <v>4568</v>
      </c>
      <c r="D381" s="186" t="str">
        <f t="shared" si="11"/>
        <v>CENTAR ZA SOCIJALNU SKRB ROVINJ (6728)</v>
      </c>
      <c r="E381" s="186" t="s">
        <v>4569</v>
      </c>
      <c r="F381" s="186" t="s">
        <v>4570</v>
      </c>
      <c r="G381" s="187">
        <v>2883376</v>
      </c>
      <c r="H381" s="188" t="s">
        <v>4571</v>
      </c>
    </row>
    <row r="382" spans="1:8" ht="15" customHeight="1">
      <c r="A382" s="184">
        <f t="shared" si="12"/>
        <v>379</v>
      </c>
      <c r="B382" s="185">
        <v>6736</v>
      </c>
      <c r="C382" s="186" t="s">
        <v>4572</v>
      </c>
      <c r="D382" s="186" t="str">
        <f t="shared" si="11"/>
        <v>CENTAR ZA SOCIJALNU SKRB SAMOBOR (6736)</v>
      </c>
      <c r="E382" s="186" t="s">
        <v>4573</v>
      </c>
      <c r="F382" s="186" t="s">
        <v>4574</v>
      </c>
      <c r="G382" s="187">
        <v>2873109</v>
      </c>
      <c r="H382" s="188" t="s">
        <v>4575</v>
      </c>
    </row>
    <row r="383" spans="1:8" ht="15" customHeight="1">
      <c r="A383" s="184">
        <f t="shared" si="12"/>
        <v>380</v>
      </c>
      <c r="B383" s="185">
        <v>6744</v>
      </c>
      <c r="C383" s="186" t="s">
        <v>4576</v>
      </c>
      <c r="D383" s="186" t="str">
        <f t="shared" si="11"/>
        <v>CENTAR ZA SOCIJALNU SKRB SENJ (6744)</v>
      </c>
      <c r="E383" s="186" t="s">
        <v>4577</v>
      </c>
      <c r="F383" s="186" t="s">
        <v>4578</v>
      </c>
      <c r="G383" s="187">
        <v>2883651</v>
      </c>
      <c r="H383" s="188" t="s">
        <v>4579</v>
      </c>
    </row>
    <row r="384" spans="1:8" ht="15" customHeight="1">
      <c r="A384" s="184">
        <f t="shared" si="12"/>
        <v>381</v>
      </c>
      <c r="B384" s="185">
        <v>6752</v>
      </c>
      <c r="C384" s="186" t="s">
        <v>4580</v>
      </c>
      <c r="D384" s="186" t="str">
        <f t="shared" si="11"/>
        <v>CENTAR ZA SOCIJALNU SKRB SINJ (6752)</v>
      </c>
      <c r="E384" s="186" t="s">
        <v>4581</v>
      </c>
      <c r="F384" s="186" t="s">
        <v>4582</v>
      </c>
      <c r="G384" s="187">
        <v>2882710</v>
      </c>
      <c r="H384" s="188" t="s">
        <v>4583</v>
      </c>
    </row>
    <row r="385" spans="1:8" ht="15" customHeight="1">
      <c r="A385" s="184">
        <f t="shared" si="12"/>
        <v>382</v>
      </c>
      <c r="B385" s="185">
        <v>6769</v>
      </c>
      <c r="C385" s="186" t="s">
        <v>4584</v>
      </c>
      <c r="D385" s="186" t="str">
        <f t="shared" si="11"/>
        <v>CENTAR ZA SOCIJALNU SKRB SISAK (6769)</v>
      </c>
      <c r="E385" s="186" t="s">
        <v>4585</v>
      </c>
      <c r="F385" s="186" t="s">
        <v>293</v>
      </c>
      <c r="G385" s="187">
        <v>2883236</v>
      </c>
      <c r="H385" s="188" t="s">
        <v>4586</v>
      </c>
    </row>
    <row r="386" spans="1:8" ht="15" customHeight="1">
      <c r="A386" s="184">
        <f t="shared" si="12"/>
        <v>383</v>
      </c>
      <c r="B386" s="185">
        <v>6689</v>
      </c>
      <c r="C386" s="186" t="s">
        <v>4587</v>
      </c>
      <c r="D386" s="186" t="str">
        <f t="shared" si="11"/>
        <v>CENTAR ZA SOCIJALNU SKRB SLATINA (6689)</v>
      </c>
      <c r="E386" s="186" t="s">
        <v>4588</v>
      </c>
      <c r="F386" s="186" t="s">
        <v>4589</v>
      </c>
      <c r="G386" s="187">
        <v>2873028</v>
      </c>
      <c r="H386" s="188" t="s">
        <v>4590</v>
      </c>
    </row>
    <row r="387" spans="1:8" ht="15" customHeight="1">
      <c r="A387" s="184">
        <f t="shared" si="12"/>
        <v>384</v>
      </c>
      <c r="B387" s="185">
        <v>6785</v>
      </c>
      <c r="C387" s="186" t="s">
        <v>4591</v>
      </c>
      <c r="D387" s="186" t="str">
        <f t="shared" si="11"/>
        <v>CENTAR ZA SOCIJALNU SKRB SLAVONSKI BROD (6785)</v>
      </c>
      <c r="E387" s="186" t="s">
        <v>4592</v>
      </c>
      <c r="F387" s="186" t="s">
        <v>172</v>
      </c>
      <c r="G387" s="187">
        <v>2872412</v>
      </c>
      <c r="H387" s="188" t="s">
        <v>4593</v>
      </c>
    </row>
    <row r="388" spans="1:8" ht="15" customHeight="1">
      <c r="A388" s="184">
        <f t="shared" si="12"/>
        <v>385</v>
      </c>
      <c r="B388" s="185">
        <v>19931</v>
      </c>
      <c r="C388" s="186" t="s">
        <v>4594</v>
      </c>
      <c r="D388" s="186" t="str">
        <f t="shared" ref="D388:D451" si="13">C388&amp;" ("&amp;B388&amp;")"</f>
        <v>CENTAR ZA SOCIJALNU SKRB SLUNJ (19931)</v>
      </c>
      <c r="E388" s="186" t="s">
        <v>4595</v>
      </c>
      <c r="F388" s="186" t="s">
        <v>4596</v>
      </c>
      <c r="G388" s="187">
        <v>2882990</v>
      </c>
      <c r="H388" s="188" t="s">
        <v>4597</v>
      </c>
    </row>
    <row r="389" spans="1:8" ht="15" customHeight="1">
      <c r="A389" s="184">
        <f t="shared" si="12"/>
        <v>386</v>
      </c>
      <c r="B389" s="185">
        <v>6890</v>
      </c>
      <c r="C389" s="186" t="s">
        <v>4598</v>
      </c>
      <c r="D389" s="186" t="str">
        <f t="shared" si="13"/>
        <v>CENTAR ZA SOCIJALNU SKRB SPLIT (6890)</v>
      </c>
      <c r="E389" s="186" t="s">
        <v>4599</v>
      </c>
      <c r="F389" s="186" t="s">
        <v>176</v>
      </c>
      <c r="G389" s="187">
        <v>2882752</v>
      </c>
      <c r="H389" s="188" t="s">
        <v>4600</v>
      </c>
    </row>
    <row r="390" spans="1:8" ht="15" customHeight="1">
      <c r="A390" s="184">
        <f t="shared" si="12"/>
        <v>387</v>
      </c>
      <c r="B390" s="185">
        <v>6937</v>
      </c>
      <c r="C390" s="186" t="s">
        <v>4601</v>
      </c>
      <c r="D390" s="186" t="str">
        <f t="shared" si="13"/>
        <v>CENTAR ZA SOCIJALNU SKRB SVETI IVAN ZELINA  (6937)</v>
      </c>
      <c r="E390" s="186" t="s">
        <v>4602</v>
      </c>
      <c r="F390" s="186" t="s">
        <v>4603</v>
      </c>
      <c r="G390" s="187">
        <v>2873052</v>
      </c>
      <c r="H390" s="188" t="s">
        <v>4604</v>
      </c>
    </row>
    <row r="391" spans="1:8" ht="15" customHeight="1">
      <c r="A391" s="184">
        <f t="shared" si="12"/>
        <v>388</v>
      </c>
      <c r="B391" s="185">
        <v>6793</v>
      </c>
      <c r="C391" s="186" t="s">
        <v>4605</v>
      </c>
      <c r="D391" s="186" t="str">
        <f t="shared" si="13"/>
        <v>CENTAR ZA SOCIJALNU SKRB ŠIBENIK (6793)</v>
      </c>
      <c r="E391" s="186" t="s">
        <v>4606</v>
      </c>
      <c r="F391" s="186" t="s">
        <v>350</v>
      </c>
      <c r="G391" s="187">
        <v>2882019</v>
      </c>
      <c r="H391" s="188" t="s">
        <v>4607</v>
      </c>
    </row>
    <row r="392" spans="1:8" ht="15" customHeight="1">
      <c r="A392" s="184">
        <f t="shared" si="12"/>
        <v>389</v>
      </c>
      <c r="B392" s="185">
        <v>6808</v>
      </c>
      <c r="C392" s="186" t="s">
        <v>4608</v>
      </c>
      <c r="D392" s="186" t="str">
        <f t="shared" si="13"/>
        <v>CENTAR ZA SOCIJALNU SKRB TROGIR (6808)</v>
      </c>
      <c r="E392" s="186" t="s">
        <v>4609</v>
      </c>
      <c r="F392" s="186" t="s">
        <v>4610</v>
      </c>
      <c r="G392" s="187">
        <v>2882701</v>
      </c>
      <c r="H392" s="188" t="s">
        <v>4611</v>
      </c>
    </row>
    <row r="393" spans="1:8" ht="15" customHeight="1">
      <c r="A393" s="184">
        <f t="shared" si="12"/>
        <v>390</v>
      </c>
      <c r="B393" s="185">
        <v>6816</v>
      </c>
      <c r="C393" s="186" t="s">
        <v>4612</v>
      </c>
      <c r="D393" s="186" t="str">
        <f t="shared" si="13"/>
        <v>CENTAR ZA SOCIJALNU SKRB VALPOVO (6816)</v>
      </c>
      <c r="E393" s="186" t="s">
        <v>4613</v>
      </c>
      <c r="F393" s="186" t="s">
        <v>4614</v>
      </c>
      <c r="G393" s="187">
        <v>2872714</v>
      </c>
      <c r="H393" s="188" t="s">
        <v>4615</v>
      </c>
    </row>
    <row r="394" spans="1:8" ht="15" customHeight="1">
      <c r="A394" s="184">
        <f t="shared" si="12"/>
        <v>391</v>
      </c>
      <c r="B394" s="185">
        <v>21981</v>
      </c>
      <c r="C394" s="186" t="s">
        <v>4616</v>
      </c>
      <c r="D394" s="186" t="str">
        <f t="shared" si="13"/>
        <v>CENTAR ZA SOCIJALNU SKRB VARAŽDIN (21981)</v>
      </c>
      <c r="E394" s="186" t="s">
        <v>4617</v>
      </c>
      <c r="F394" s="186" t="s">
        <v>32</v>
      </c>
      <c r="G394" s="187">
        <v>2872617</v>
      </c>
      <c r="H394" s="188" t="s">
        <v>4618</v>
      </c>
    </row>
    <row r="395" spans="1:8" ht="15" customHeight="1">
      <c r="A395" s="184">
        <f t="shared" si="12"/>
        <v>392</v>
      </c>
      <c r="B395" s="185">
        <v>6832</v>
      </c>
      <c r="C395" s="186" t="s">
        <v>4619</v>
      </c>
      <c r="D395" s="186" t="str">
        <f t="shared" si="13"/>
        <v>CENTAR ZA SOCIJALNU SKRB VELIKA GORICA  (6832)</v>
      </c>
      <c r="E395" s="186" t="s">
        <v>4620</v>
      </c>
      <c r="F395" s="186" t="s">
        <v>3794</v>
      </c>
      <c r="G395" s="187">
        <v>2873117</v>
      </c>
      <c r="H395" s="188" t="s">
        <v>4621</v>
      </c>
    </row>
    <row r="396" spans="1:8" ht="15" customHeight="1">
      <c r="A396" s="184">
        <f t="shared" si="12"/>
        <v>393</v>
      </c>
      <c r="B396" s="185">
        <v>6849</v>
      </c>
      <c r="C396" s="186" t="s">
        <v>4622</v>
      </c>
      <c r="D396" s="186" t="str">
        <f t="shared" si="13"/>
        <v>CENTAR ZA SOCIJALNU SKRB VINKOVCI (6849)</v>
      </c>
      <c r="E396" s="186" t="s">
        <v>4623</v>
      </c>
      <c r="F396" s="186" t="s">
        <v>4624</v>
      </c>
      <c r="G396" s="187">
        <v>2872803</v>
      </c>
      <c r="H396" s="188" t="s">
        <v>4625</v>
      </c>
    </row>
    <row r="397" spans="1:8" ht="15" customHeight="1">
      <c r="A397" s="184">
        <f t="shared" si="12"/>
        <v>394</v>
      </c>
      <c r="B397" s="185">
        <v>6857</v>
      </c>
      <c r="C397" s="186" t="s">
        <v>4626</v>
      </c>
      <c r="D397" s="186" t="str">
        <f t="shared" si="13"/>
        <v>CENTAR ZA SOCIJALNU SKRB VIROVITICA (6857)</v>
      </c>
      <c r="E397" s="186" t="s">
        <v>4627</v>
      </c>
      <c r="F397" s="186" t="s">
        <v>354</v>
      </c>
      <c r="G397" s="187">
        <v>2873010</v>
      </c>
      <c r="H397" s="188" t="s">
        <v>4628</v>
      </c>
    </row>
    <row r="398" spans="1:8" ht="15" customHeight="1">
      <c r="A398" s="184">
        <f t="shared" si="12"/>
        <v>395</v>
      </c>
      <c r="B398" s="185">
        <v>6873</v>
      </c>
      <c r="C398" s="186" t="s">
        <v>4629</v>
      </c>
      <c r="D398" s="186" t="str">
        <f t="shared" si="13"/>
        <v>CENTAR ZA SOCIJALNU SKRB VRBOVEC (6873)</v>
      </c>
      <c r="E398" s="186" t="s">
        <v>4630</v>
      </c>
      <c r="F398" s="186" t="s">
        <v>4631</v>
      </c>
      <c r="G398" s="187">
        <v>2873044</v>
      </c>
      <c r="H398" s="188" t="s">
        <v>4632</v>
      </c>
    </row>
    <row r="399" spans="1:8" ht="15" customHeight="1">
      <c r="A399" s="184">
        <f t="shared" si="12"/>
        <v>396</v>
      </c>
      <c r="B399" s="185">
        <v>22259</v>
      </c>
      <c r="C399" s="186" t="s">
        <v>4633</v>
      </c>
      <c r="D399" s="186" t="str">
        <f t="shared" si="13"/>
        <v>CENTAR ZA SOCIJALNU SKRB VUKOVAR (22259)</v>
      </c>
      <c r="E399" s="186" t="s">
        <v>4634</v>
      </c>
      <c r="F399" s="186" t="s">
        <v>331</v>
      </c>
      <c r="G399" s="187">
        <v>2872820</v>
      </c>
      <c r="H399" s="188" t="s">
        <v>4635</v>
      </c>
    </row>
    <row r="400" spans="1:8" ht="15" customHeight="1">
      <c r="A400" s="184">
        <f t="shared" si="12"/>
        <v>397</v>
      </c>
      <c r="B400" s="185">
        <v>6881</v>
      </c>
      <c r="C400" s="186" t="s">
        <v>4636</v>
      </c>
      <c r="D400" s="186" t="str">
        <f t="shared" si="13"/>
        <v>CENTAR ZA SOCIJALNU SKRB ZABOK (6881)</v>
      </c>
      <c r="E400" s="186" t="s">
        <v>4637</v>
      </c>
      <c r="F400" s="186" t="s">
        <v>4638</v>
      </c>
      <c r="G400" s="187">
        <v>2877473</v>
      </c>
      <c r="H400" s="188" t="s">
        <v>4639</v>
      </c>
    </row>
    <row r="401" spans="1:8" ht="15" customHeight="1">
      <c r="A401" s="184">
        <f t="shared" si="12"/>
        <v>398</v>
      </c>
      <c r="B401" s="185">
        <v>6912</v>
      </c>
      <c r="C401" s="186" t="s">
        <v>4640</v>
      </c>
      <c r="D401" s="186" t="str">
        <f t="shared" si="13"/>
        <v>CENTAR ZA SOCIJALNU SKRB ZADAR (6912)</v>
      </c>
      <c r="E401" s="186" t="s">
        <v>3966</v>
      </c>
      <c r="F401" s="186" t="s">
        <v>218</v>
      </c>
      <c r="G401" s="187">
        <v>2884313</v>
      </c>
      <c r="H401" s="188" t="s">
        <v>4641</v>
      </c>
    </row>
    <row r="402" spans="1:8" ht="15" customHeight="1">
      <c r="A402" s="184">
        <f t="shared" si="12"/>
        <v>399</v>
      </c>
      <c r="B402" s="185">
        <v>22550</v>
      </c>
      <c r="C402" s="186" t="s">
        <v>4642</v>
      </c>
      <c r="D402" s="186" t="str">
        <f t="shared" si="13"/>
        <v>CENTAR ZA SOCIJALNU SKRB ZAGREB (22550)</v>
      </c>
      <c r="E402" s="186" t="s">
        <v>4643</v>
      </c>
      <c r="F402" s="186" t="s">
        <v>25</v>
      </c>
      <c r="G402" s="187">
        <v>2874440</v>
      </c>
      <c r="H402" s="188" t="s">
        <v>4644</v>
      </c>
    </row>
    <row r="403" spans="1:8" ht="15" customHeight="1">
      <c r="A403" s="184">
        <f t="shared" si="12"/>
        <v>400</v>
      </c>
      <c r="B403" s="185">
        <v>6929</v>
      </c>
      <c r="C403" s="186" t="s">
        <v>4645</v>
      </c>
      <c r="D403" s="186" t="str">
        <f t="shared" si="13"/>
        <v>CENTAR ZA SOCIJALNU SKRB ZAPREŠIĆ (6929)</v>
      </c>
      <c r="E403" s="186" t="s">
        <v>4646</v>
      </c>
      <c r="F403" s="186" t="s">
        <v>4647</v>
      </c>
      <c r="G403" s="187">
        <v>2873095</v>
      </c>
      <c r="H403" s="188" t="s">
        <v>4648</v>
      </c>
    </row>
    <row r="404" spans="1:8" ht="15" customHeight="1">
      <c r="A404" s="184">
        <f t="shared" si="12"/>
        <v>401</v>
      </c>
      <c r="B404" s="185">
        <v>6945</v>
      </c>
      <c r="C404" s="186" t="s">
        <v>4649</v>
      </c>
      <c r="D404" s="186" t="str">
        <f t="shared" si="13"/>
        <v>CENTAR ZA SOCIJALNU SKRB ZLATAR BISTRICA (6945)</v>
      </c>
      <c r="E404" s="186" t="s">
        <v>4650</v>
      </c>
      <c r="F404" s="186" t="s">
        <v>4651</v>
      </c>
      <c r="G404" s="187">
        <v>2877449</v>
      </c>
      <c r="H404" s="188" t="s">
        <v>4652</v>
      </c>
    </row>
    <row r="405" spans="1:8" ht="15" customHeight="1">
      <c r="A405" s="184">
        <f t="shared" si="12"/>
        <v>402</v>
      </c>
      <c r="B405" s="185">
        <v>6953</v>
      </c>
      <c r="C405" s="186" t="s">
        <v>4653</v>
      </c>
      <c r="D405" s="186" t="str">
        <f t="shared" si="13"/>
        <v>CENTAR ZA SOCIJALNU SKRB ŽUPANJA (6953)</v>
      </c>
      <c r="E405" s="186" t="s">
        <v>4654</v>
      </c>
      <c r="F405" s="186" t="s">
        <v>4655</v>
      </c>
      <c r="G405" s="187">
        <v>2872811</v>
      </c>
      <c r="H405" s="188" t="s">
        <v>4656</v>
      </c>
    </row>
    <row r="406" spans="1:8" ht="15" customHeight="1">
      <c r="A406" s="184">
        <f t="shared" si="12"/>
        <v>403</v>
      </c>
      <c r="B406" s="185">
        <v>7122</v>
      </c>
      <c r="C406" s="186" t="s">
        <v>4657</v>
      </c>
      <c r="D406" s="186" t="str">
        <f t="shared" si="13"/>
        <v>DJEČJI DOM "IVANA BRLIĆ MAŽURANIĆ" LOVRAN (7122)</v>
      </c>
      <c r="E406" s="186" t="s">
        <v>4658</v>
      </c>
      <c r="F406" s="186" t="s">
        <v>4174</v>
      </c>
      <c r="G406" s="187">
        <v>3090353</v>
      </c>
      <c r="H406" s="188" t="s">
        <v>4659</v>
      </c>
    </row>
    <row r="407" spans="1:8" ht="15" customHeight="1">
      <c r="A407" s="184">
        <f t="shared" si="12"/>
        <v>404</v>
      </c>
      <c r="B407" s="185">
        <v>7202</v>
      </c>
      <c r="C407" s="186" t="s">
        <v>4660</v>
      </c>
      <c r="D407" s="186" t="str">
        <f t="shared" si="13"/>
        <v>DJEČJI DOM SV. ANA, VINKOVCI (7202)</v>
      </c>
      <c r="E407" s="186" t="s">
        <v>4661</v>
      </c>
      <c r="F407" s="186" t="s">
        <v>4662</v>
      </c>
      <c r="G407" s="187">
        <v>3367819</v>
      </c>
      <c r="H407" s="188" t="s">
        <v>4663</v>
      </c>
    </row>
    <row r="408" spans="1:8" ht="15" customHeight="1">
      <c r="A408" s="184">
        <f t="shared" si="12"/>
        <v>405</v>
      </c>
      <c r="B408" s="185">
        <v>7171</v>
      </c>
      <c r="C408" s="186" t="s">
        <v>4664</v>
      </c>
      <c r="D408" s="186" t="str">
        <f t="shared" si="13"/>
        <v>DJEČJI DOM VRBINA SISAK (7171)</v>
      </c>
      <c r="E408" s="186" t="s">
        <v>4665</v>
      </c>
      <c r="F408" s="186" t="s">
        <v>293</v>
      </c>
      <c r="G408" s="187">
        <v>3313964</v>
      </c>
      <c r="H408" s="188" t="s">
        <v>4666</v>
      </c>
    </row>
    <row r="409" spans="1:8" ht="15" customHeight="1">
      <c r="A409" s="184">
        <f t="shared" si="12"/>
        <v>406</v>
      </c>
      <c r="B409" s="185">
        <v>7376</v>
      </c>
      <c r="C409" s="186" t="s">
        <v>4667</v>
      </c>
      <c r="D409" s="186" t="str">
        <f t="shared" si="13"/>
        <v>DNEVNI CENTAR ZA REHABILITACIJU SLAVA RAŠKAJ (7376)</v>
      </c>
      <c r="E409" s="186" t="s">
        <v>4668</v>
      </c>
      <c r="F409" s="186" t="s">
        <v>126</v>
      </c>
      <c r="G409" s="187">
        <v>3321266</v>
      </c>
      <c r="H409" s="188" t="s">
        <v>4669</v>
      </c>
    </row>
    <row r="410" spans="1:8" ht="15" customHeight="1">
      <c r="A410" s="184">
        <f t="shared" si="12"/>
        <v>407</v>
      </c>
      <c r="B410" s="185">
        <v>7665</v>
      </c>
      <c r="C410" s="186" t="s">
        <v>4670</v>
      </c>
      <c r="D410" s="186" t="str">
        <f t="shared" si="13"/>
        <v>DOM ZA ODRASLE OSOBE LOBOR-GRAD (7665)</v>
      </c>
      <c r="E410" s="186" t="s">
        <v>4671</v>
      </c>
      <c r="F410" s="186" t="s">
        <v>4672</v>
      </c>
      <c r="G410" s="187">
        <v>3126889</v>
      </c>
      <c r="H410" s="188" t="s">
        <v>4673</v>
      </c>
    </row>
    <row r="411" spans="1:8" ht="15" customHeight="1">
      <c r="A411" s="184">
        <f t="shared" si="12"/>
        <v>408</v>
      </c>
      <c r="B411" s="185">
        <v>7083</v>
      </c>
      <c r="C411" s="186" t="s">
        <v>4674</v>
      </c>
      <c r="D411" s="186" t="str">
        <f t="shared" si="13"/>
        <v>DOM ZA DJECU I MLAĐE PUNOLJETNE OSOBE MASLINA, DUBROVNIK (7083)</v>
      </c>
      <c r="E411" s="186" t="s">
        <v>4675</v>
      </c>
      <c r="F411" s="186" t="s">
        <v>120</v>
      </c>
      <c r="G411" s="187">
        <v>3304167</v>
      </c>
      <c r="H411" s="188" t="s">
        <v>4676</v>
      </c>
    </row>
    <row r="412" spans="1:8" ht="15" customHeight="1">
      <c r="A412" s="184">
        <f t="shared" si="12"/>
        <v>409</v>
      </c>
      <c r="B412" s="185">
        <v>7198</v>
      </c>
      <c r="C412" s="186" t="s">
        <v>4677</v>
      </c>
      <c r="D412" s="186" t="str">
        <f t="shared" si="13"/>
        <v>DOM ZA DJECU MAESTRAL SPLIT (7198)</v>
      </c>
      <c r="E412" s="186" t="s">
        <v>4678</v>
      </c>
      <c r="F412" s="186" t="s">
        <v>176</v>
      </c>
      <c r="G412" s="187">
        <v>3118606</v>
      </c>
      <c r="H412" s="188" t="s">
        <v>4679</v>
      </c>
    </row>
    <row r="413" spans="1:8" ht="15" customHeight="1">
      <c r="A413" s="184">
        <f t="shared" si="12"/>
        <v>410</v>
      </c>
      <c r="B413" s="185">
        <v>7155</v>
      </c>
      <c r="C413" s="186" t="s">
        <v>4680</v>
      </c>
      <c r="D413" s="186" t="str">
        <f t="shared" si="13"/>
        <v>DOM ZA DJECU ZA MLAĐE I PUNOLJETNE OSOBE PULA (7155)</v>
      </c>
      <c r="E413" s="186" t="s">
        <v>4681</v>
      </c>
      <c r="F413" s="186" t="s">
        <v>110</v>
      </c>
      <c r="G413" s="187">
        <v>3203824</v>
      </c>
      <c r="H413" s="188" t="s">
        <v>4682</v>
      </c>
    </row>
    <row r="414" spans="1:8" ht="15" customHeight="1">
      <c r="A414" s="184">
        <f t="shared" si="12"/>
        <v>411</v>
      </c>
      <c r="B414" s="185">
        <v>7219</v>
      </c>
      <c r="C414" s="186" t="s">
        <v>4683</v>
      </c>
      <c r="D414" s="186" t="str">
        <f t="shared" si="13"/>
        <v>DJEČJI DOM ZAGREB (7219)</v>
      </c>
      <c r="E414" s="186" t="s">
        <v>4684</v>
      </c>
      <c r="F414" s="186" t="s">
        <v>25</v>
      </c>
      <c r="G414" s="187">
        <v>3289745</v>
      </c>
      <c r="H414" s="188" t="s">
        <v>4685</v>
      </c>
    </row>
    <row r="415" spans="1:8" ht="15" customHeight="1">
      <c r="A415" s="184">
        <f t="shared" si="12"/>
        <v>412</v>
      </c>
      <c r="B415" s="185">
        <v>7227</v>
      </c>
      <c r="C415" s="186" t="s">
        <v>4686</v>
      </c>
      <c r="D415" s="186" t="str">
        <f t="shared" si="13"/>
        <v>DOM ZA ODGOJ DJECE BEDEKOVČINA (7227)</v>
      </c>
      <c r="E415" s="186" t="s">
        <v>4687</v>
      </c>
      <c r="F415" s="186" t="s">
        <v>4688</v>
      </c>
      <c r="G415" s="187">
        <v>3016692</v>
      </c>
      <c r="H415" s="188" t="s">
        <v>4689</v>
      </c>
    </row>
    <row r="416" spans="1:8" ht="15" customHeight="1">
      <c r="A416" s="184">
        <f t="shared" si="12"/>
        <v>413</v>
      </c>
      <c r="B416" s="185">
        <v>7251</v>
      </c>
      <c r="C416" s="186" t="s">
        <v>4690</v>
      </c>
      <c r="D416" s="186" t="str">
        <f t="shared" si="13"/>
        <v>DOM ZA ODGOJ DJECE I MLADEŽI KARLOVAC (7251)</v>
      </c>
      <c r="E416" s="186" t="s">
        <v>4691</v>
      </c>
      <c r="F416" s="186" t="s">
        <v>343</v>
      </c>
      <c r="G416" s="187">
        <v>3130576</v>
      </c>
      <c r="H416" s="188" t="s">
        <v>4692</v>
      </c>
    </row>
    <row r="417" spans="1:8" ht="15" customHeight="1">
      <c r="A417" s="184">
        <f t="shared" si="12"/>
        <v>414</v>
      </c>
      <c r="B417" s="185">
        <v>7278</v>
      </c>
      <c r="C417" s="186" t="s">
        <v>4693</v>
      </c>
      <c r="D417" s="186" t="str">
        <f t="shared" si="13"/>
        <v>DOM ZA ODGOJ DJECE I MLADEŽI OSIJEK (7278)</v>
      </c>
      <c r="E417" s="186" t="s">
        <v>4694</v>
      </c>
      <c r="F417" s="186" t="s">
        <v>45</v>
      </c>
      <c r="G417" s="187">
        <v>3014428</v>
      </c>
      <c r="H417" s="188" t="s">
        <v>4695</v>
      </c>
    </row>
    <row r="418" spans="1:8" ht="15" customHeight="1">
      <c r="A418" s="184">
        <f t="shared" si="12"/>
        <v>415</v>
      </c>
      <c r="B418" s="185">
        <v>7286</v>
      </c>
      <c r="C418" s="186" t="s">
        <v>4696</v>
      </c>
      <c r="D418" s="186" t="str">
        <f t="shared" si="13"/>
        <v>DOM ZA ODGOJ DJECE I MLADEŽI PULA (7286)</v>
      </c>
      <c r="E418" s="186" t="s">
        <v>4697</v>
      </c>
      <c r="F418" s="186" t="s">
        <v>110</v>
      </c>
      <c r="G418" s="187">
        <v>3203832</v>
      </c>
      <c r="H418" s="188" t="s">
        <v>4698</v>
      </c>
    </row>
    <row r="419" spans="1:8" ht="15" customHeight="1">
      <c r="A419" s="184">
        <f t="shared" si="12"/>
        <v>416</v>
      </c>
      <c r="B419" s="185">
        <v>7294</v>
      </c>
      <c r="C419" s="186" t="s">
        <v>4699</v>
      </c>
      <c r="D419" s="186" t="str">
        <f t="shared" si="13"/>
        <v>DOM ZA ODGOJ DJECE I MLADEŽI RIJEKA (7294)</v>
      </c>
      <c r="E419" s="186" t="s">
        <v>4700</v>
      </c>
      <c r="F419" s="186" t="s">
        <v>126</v>
      </c>
      <c r="G419" s="187">
        <v>3321282</v>
      </c>
      <c r="H419" s="188" t="s">
        <v>4701</v>
      </c>
    </row>
    <row r="420" spans="1:8" ht="15" customHeight="1">
      <c r="A420" s="184">
        <f t="shared" si="12"/>
        <v>417</v>
      </c>
      <c r="B420" s="185">
        <v>7317</v>
      </c>
      <c r="C420" s="186" t="s">
        <v>4702</v>
      </c>
      <c r="D420" s="186" t="str">
        <f t="shared" si="13"/>
        <v>DOM ZA ODGOJ DJECE I MLADEŽI ZADAR (7317)</v>
      </c>
      <c r="E420" s="186" t="s">
        <v>4703</v>
      </c>
      <c r="F420" s="186" t="s">
        <v>218</v>
      </c>
      <c r="G420" s="187">
        <v>3153037</v>
      </c>
      <c r="H420" s="188" t="s">
        <v>4704</v>
      </c>
    </row>
    <row r="421" spans="1:8" ht="15" customHeight="1">
      <c r="A421" s="184">
        <f t="shared" si="12"/>
        <v>418</v>
      </c>
      <c r="B421" s="185">
        <v>7325</v>
      </c>
      <c r="C421" s="186" t="s">
        <v>4705</v>
      </c>
      <c r="D421" s="186" t="str">
        <f t="shared" si="13"/>
        <v>DOM ZA ODGOJ DJECE I MLADEŽI ZAGREB (7325)</v>
      </c>
      <c r="E421" s="186" t="s">
        <v>4706</v>
      </c>
      <c r="F421" s="186" t="s">
        <v>4707</v>
      </c>
      <c r="G421" s="187">
        <v>3207536</v>
      </c>
      <c r="H421" s="188" t="s">
        <v>4708</v>
      </c>
    </row>
    <row r="422" spans="1:8" ht="15" customHeight="1">
      <c r="A422" s="184">
        <f t="shared" si="12"/>
        <v>419</v>
      </c>
      <c r="B422" s="185">
        <v>22283</v>
      </c>
      <c r="C422" s="186" t="s">
        <v>4709</v>
      </c>
      <c r="D422" s="186" t="str">
        <f t="shared" si="13"/>
        <v>DOM ZA ODRASLE OSOBE BIDRUŽICA (22283)</v>
      </c>
      <c r="E422" s="186" t="s">
        <v>4710</v>
      </c>
      <c r="F422" s="186" t="s">
        <v>4711</v>
      </c>
      <c r="G422" s="187">
        <v>1354248</v>
      </c>
      <c r="H422" s="188" t="s">
        <v>4712</v>
      </c>
    </row>
    <row r="423" spans="1:8" ht="15" customHeight="1">
      <c r="A423" s="184">
        <f t="shared" si="12"/>
        <v>420</v>
      </c>
      <c r="B423" s="185">
        <v>7840</v>
      </c>
      <c r="C423" s="186" t="s">
        <v>4713</v>
      </c>
      <c r="D423" s="186" t="str">
        <f t="shared" si="13"/>
        <v>DOM ZA ODRASLE OSOBE BOROVA (7840)</v>
      </c>
      <c r="E423" s="186" t="s">
        <v>4714</v>
      </c>
      <c r="F423" s="186" t="s">
        <v>4715</v>
      </c>
      <c r="G423" s="187">
        <v>3105407</v>
      </c>
      <c r="H423" s="188" t="s">
        <v>4716</v>
      </c>
    </row>
    <row r="424" spans="1:8" ht="15" customHeight="1">
      <c r="A424" s="184">
        <f t="shared" si="12"/>
        <v>421</v>
      </c>
      <c r="B424" s="185">
        <v>26547</v>
      </c>
      <c r="C424" s="186" t="s">
        <v>4717</v>
      </c>
      <c r="D424" s="186" t="str">
        <f t="shared" si="13"/>
        <v>DOM ZA ODRASLE OSOBE I REHABILITACIJU METKOVIĆ (26547)</v>
      </c>
      <c r="E424" s="186" t="s">
        <v>4506</v>
      </c>
      <c r="F424" s="186" t="s">
        <v>4507</v>
      </c>
      <c r="G424" s="187">
        <v>1831976</v>
      </c>
      <c r="H424" s="188" t="s">
        <v>4718</v>
      </c>
    </row>
    <row r="425" spans="1:8" ht="15" customHeight="1">
      <c r="A425" s="184">
        <f t="shared" si="12"/>
        <v>422</v>
      </c>
      <c r="B425" s="185">
        <v>7673</v>
      </c>
      <c r="C425" s="186" t="s">
        <v>4719</v>
      </c>
      <c r="D425" s="186" t="str">
        <f t="shared" si="13"/>
        <v>DOM ZA ODRASLE OSOBE LJESKOVICA (7673)</v>
      </c>
      <c r="E425" s="186" t="s">
        <v>4720</v>
      </c>
      <c r="F425" s="186" t="s">
        <v>4721</v>
      </c>
      <c r="G425" s="187">
        <v>3346366</v>
      </c>
      <c r="H425" s="188" t="s">
        <v>4722</v>
      </c>
    </row>
    <row r="426" spans="1:8" ht="15" customHeight="1">
      <c r="A426" s="184">
        <f t="shared" si="12"/>
        <v>423</v>
      </c>
      <c r="B426" s="185">
        <v>7729</v>
      </c>
      <c r="C426" s="186" t="s">
        <v>4723</v>
      </c>
      <c r="D426" s="186" t="str">
        <f t="shared" si="13"/>
        <v>DOM ZA ODRASLE OSOBE NUŠTAR (7729)</v>
      </c>
      <c r="E426" s="186" t="s">
        <v>4724</v>
      </c>
      <c r="F426" s="186" t="s">
        <v>4725</v>
      </c>
      <c r="G426" s="187">
        <v>3301451</v>
      </c>
      <c r="H426" s="188" t="s">
        <v>4726</v>
      </c>
    </row>
    <row r="427" spans="1:8" ht="15" customHeight="1">
      <c r="A427" s="184">
        <f t="shared" si="12"/>
        <v>424</v>
      </c>
      <c r="B427" s="185">
        <v>7745</v>
      </c>
      <c r="C427" s="186" t="s">
        <v>4727</v>
      </c>
      <c r="D427" s="186" t="str">
        <f t="shared" si="13"/>
        <v>DOM ZA ODRASLE OSOBE OREHOVICA (7745)</v>
      </c>
      <c r="E427" s="186" t="s">
        <v>4728</v>
      </c>
      <c r="F427" s="186" t="s">
        <v>4729</v>
      </c>
      <c r="G427" s="187">
        <v>3110150</v>
      </c>
      <c r="H427" s="188" t="s">
        <v>4730</v>
      </c>
    </row>
    <row r="428" spans="1:8" ht="15" customHeight="1">
      <c r="A428" s="184">
        <f t="shared" si="12"/>
        <v>425</v>
      </c>
      <c r="B428" s="185">
        <v>23569</v>
      </c>
      <c r="C428" s="186" t="s">
        <v>4731</v>
      </c>
      <c r="D428" s="186" t="str">
        <f t="shared" si="13"/>
        <v>DOM ZA ODRASLE OSOBE TURNIĆ (23569)</v>
      </c>
      <c r="E428" s="186" t="s">
        <v>4732</v>
      </c>
      <c r="F428" s="186" t="s">
        <v>126</v>
      </c>
      <c r="G428" s="187">
        <v>2848317</v>
      </c>
      <c r="H428" s="188" t="s">
        <v>4733</v>
      </c>
    </row>
    <row r="429" spans="1:8" ht="15" customHeight="1">
      <c r="A429" s="184">
        <f t="shared" si="12"/>
        <v>426</v>
      </c>
      <c r="B429" s="185">
        <v>7544</v>
      </c>
      <c r="C429" s="186" t="s">
        <v>4734</v>
      </c>
      <c r="D429" s="186" t="str">
        <f t="shared" si="13"/>
        <v>DOM ZA ODRASLE OSOBE BJELOVAR (7544)</v>
      </c>
      <c r="E429" s="186" t="s">
        <v>4735</v>
      </c>
      <c r="F429" s="186" t="s">
        <v>3864</v>
      </c>
      <c r="G429" s="187">
        <v>3316998</v>
      </c>
      <c r="H429" s="188" t="s">
        <v>4736</v>
      </c>
    </row>
    <row r="430" spans="1:8" ht="15" customHeight="1">
      <c r="A430" s="184">
        <f t="shared" si="12"/>
        <v>427</v>
      </c>
      <c r="B430" s="185">
        <v>7569</v>
      </c>
      <c r="C430" s="186" t="s">
        <v>4737</v>
      </c>
      <c r="D430" s="186" t="str">
        <f t="shared" si="13"/>
        <v>DOM ZA PSIHIČKI BOLESNE ODRASLE OSOBE BLATO (7569)</v>
      </c>
      <c r="E430" s="186" t="s">
        <v>4738</v>
      </c>
      <c r="F430" s="186" t="s">
        <v>4739</v>
      </c>
      <c r="G430" s="187">
        <v>3081192</v>
      </c>
      <c r="H430" s="188" t="s">
        <v>4740</v>
      </c>
    </row>
    <row r="431" spans="1:8" ht="15" customHeight="1">
      <c r="A431" s="184">
        <f t="shared" si="12"/>
        <v>428</v>
      </c>
      <c r="B431" s="185">
        <v>7624</v>
      </c>
      <c r="C431" s="186" t="s">
        <v>4741</v>
      </c>
      <c r="D431" s="186" t="str">
        <f t="shared" si="13"/>
        <v>DOM ZA ODRASLE OSOBE JALŽABET (7624)</v>
      </c>
      <c r="E431" s="186" t="s">
        <v>4742</v>
      </c>
      <c r="F431" s="186" t="s">
        <v>4743</v>
      </c>
      <c r="G431" s="187">
        <v>3006441</v>
      </c>
      <c r="H431" s="188" t="s">
        <v>4744</v>
      </c>
    </row>
    <row r="432" spans="1:8" ht="15" customHeight="1">
      <c r="A432" s="184">
        <f t="shared" si="12"/>
        <v>429</v>
      </c>
      <c r="B432" s="185">
        <v>7690</v>
      </c>
      <c r="C432" s="186" t="s">
        <v>4745</v>
      </c>
      <c r="D432" s="186" t="str">
        <f t="shared" si="13"/>
        <v>DOM ZA PSIHIČKI BOLESNE ODRASLE OSOBE MOTOVUN (7690)</v>
      </c>
      <c r="E432" s="186" t="s">
        <v>4746</v>
      </c>
      <c r="F432" s="186" t="s">
        <v>4747</v>
      </c>
      <c r="G432" s="187">
        <v>3089304</v>
      </c>
      <c r="H432" s="188" t="s">
        <v>4748</v>
      </c>
    </row>
    <row r="433" spans="1:8" ht="15" customHeight="1">
      <c r="A433" s="184">
        <f t="shared" si="12"/>
        <v>430</v>
      </c>
      <c r="B433" s="185">
        <v>7938</v>
      </c>
      <c r="C433" s="186" t="s">
        <v>4749</v>
      </c>
      <c r="D433" s="186" t="str">
        <f t="shared" si="13"/>
        <v>DOM ZA ODRASLE OSOBE SV. FRANE ZADAR (7938)</v>
      </c>
      <c r="E433" s="186" t="s">
        <v>4750</v>
      </c>
      <c r="F433" s="186" t="s">
        <v>218</v>
      </c>
      <c r="G433" s="187">
        <v>3132226</v>
      </c>
      <c r="H433" s="188" t="s">
        <v>4751</v>
      </c>
    </row>
    <row r="434" spans="1:8" ht="15" customHeight="1">
      <c r="A434" s="184">
        <f t="shared" si="12"/>
        <v>431</v>
      </c>
      <c r="B434" s="185">
        <v>7704</v>
      </c>
      <c r="C434" s="186" t="s">
        <v>4752</v>
      </c>
      <c r="D434" s="186" t="str">
        <f t="shared" si="13"/>
        <v>DOM ZA ODRASLE OSOBE "SVETA NEDJELJA" NEDEŠĆINA (7704)</v>
      </c>
      <c r="E434" s="186" t="s">
        <v>4753</v>
      </c>
      <c r="F434" s="186" t="s">
        <v>4754</v>
      </c>
      <c r="G434" s="187">
        <v>3075184</v>
      </c>
      <c r="H434" s="188" t="s">
        <v>4755</v>
      </c>
    </row>
    <row r="435" spans="1:8" ht="15" customHeight="1">
      <c r="A435" s="184">
        <f t="shared" si="12"/>
        <v>432</v>
      </c>
      <c r="B435" s="185">
        <v>7866</v>
      </c>
      <c r="C435" s="186" t="s">
        <v>4756</v>
      </c>
      <c r="D435" s="186" t="str">
        <f t="shared" si="13"/>
        <v>DOM ZA PSIHIČKI BOLESNE ODRASLE OSOBE TROGIR (7866)</v>
      </c>
      <c r="E435" s="186" t="s">
        <v>4757</v>
      </c>
      <c r="F435" s="186" t="s">
        <v>4758</v>
      </c>
      <c r="G435" s="187">
        <v>3039200</v>
      </c>
      <c r="H435" s="188" t="s">
        <v>4759</v>
      </c>
    </row>
    <row r="436" spans="1:8" ht="15" customHeight="1">
      <c r="A436" s="184">
        <f t="shared" si="12"/>
        <v>433</v>
      </c>
      <c r="B436" s="185">
        <v>23657</v>
      </c>
      <c r="C436" s="186" t="s">
        <v>4760</v>
      </c>
      <c r="D436" s="186" t="str">
        <f t="shared" si="13"/>
        <v>DOM ZA ODRASLE OSOBE VILA MARIA (23657)</v>
      </c>
      <c r="E436" s="186" t="s">
        <v>4761</v>
      </c>
      <c r="F436" s="186" t="s">
        <v>110</v>
      </c>
      <c r="G436" s="187">
        <v>1599585</v>
      </c>
      <c r="H436" s="188" t="s">
        <v>4762</v>
      </c>
    </row>
    <row r="437" spans="1:8" ht="15" customHeight="1">
      <c r="A437" s="184">
        <f t="shared" si="12"/>
        <v>434</v>
      </c>
      <c r="B437" s="185">
        <v>8051</v>
      </c>
      <c r="C437" s="186" t="s">
        <v>4763</v>
      </c>
      <c r="D437" s="186" t="str">
        <f t="shared" si="13"/>
        <v>DOM ZA PSIHIČKI BOLESNE ODRASLE OSOBE ZAGREB (8051)</v>
      </c>
      <c r="E437" s="186" t="s">
        <v>4764</v>
      </c>
      <c r="F437" s="186" t="s">
        <v>25</v>
      </c>
      <c r="G437" s="187">
        <v>1354256</v>
      </c>
      <c r="H437" s="188" t="s">
        <v>4765</v>
      </c>
    </row>
    <row r="438" spans="1:8" ht="15" customHeight="1">
      <c r="A438" s="184">
        <f t="shared" si="12"/>
        <v>435</v>
      </c>
      <c r="B438" s="185">
        <v>22322</v>
      </c>
      <c r="C438" s="186" t="s">
        <v>4766</v>
      </c>
      <c r="D438" s="186" t="str">
        <f t="shared" si="13"/>
        <v>DOM ZA ODRASLE OSOBE ZEMUNIK (22322)</v>
      </c>
      <c r="E438" s="186" t="s">
        <v>4767</v>
      </c>
      <c r="F438" s="186" t="s">
        <v>4768</v>
      </c>
      <c r="G438" s="187">
        <v>1364464</v>
      </c>
      <c r="H438" s="188" t="s">
        <v>4769</v>
      </c>
    </row>
    <row r="439" spans="1:8" ht="15" customHeight="1">
      <c r="A439" s="184">
        <f t="shared" si="12"/>
        <v>436</v>
      </c>
      <c r="B439" s="185">
        <v>43327</v>
      </c>
      <c r="C439" s="202" t="s">
        <v>4770</v>
      </c>
      <c r="D439" s="186" t="str">
        <f t="shared" si="13"/>
        <v>DOM ZA STARIJE I TEŠKO BOLESNE ODRASLE OSOBE "MAJKA MARIJA PETKOVIĆ" (43327)</v>
      </c>
      <c r="E439" s="202" t="s">
        <v>4771</v>
      </c>
      <c r="F439" s="202" t="s">
        <v>4739</v>
      </c>
      <c r="G439" s="197" t="s">
        <v>4772</v>
      </c>
      <c r="H439" s="205" t="s">
        <v>4773</v>
      </c>
    </row>
    <row r="440" spans="1:8" ht="15" customHeight="1">
      <c r="A440" s="184">
        <f t="shared" si="12"/>
        <v>437</v>
      </c>
      <c r="B440" s="185">
        <v>46052</v>
      </c>
      <c r="C440" s="186" t="s">
        <v>4774</v>
      </c>
      <c r="D440" s="186" t="str">
        <f t="shared" si="13"/>
        <v>DOM ZA STARIJE OSOBE OKLAJ (46052)</v>
      </c>
      <c r="E440" s="186" t="s">
        <v>4775</v>
      </c>
      <c r="F440" s="186" t="s">
        <v>4776</v>
      </c>
      <c r="G440" s="187">
        <v>1917790</v>
      </c>
      <c r="H440" s="188" t="s">
        <v>4777</v>
      </c>
    </row>
    <row r="441" spans="1:8" ht="15" customHeight="1">
      <c r="A441" s="184">
        <f t="shared" si="12"/>
        <v>438</v>
      </c>
      <c r="B441" s="185">
        <v>7243</v>
      </c>
      <c r="C441" s="186" t="s">
        <v>4778</v>
      </c>
      <c r="D441" s="186" t="str">
        <f t="shared" si="13"/>
        <v>ODGOJNI DOM IVANEC (7243)</v>
      </c>
      <c r="E441" s="186" t="s">
        <v>4779</v>
      </c>
      <c r="F441" s="186" t="s">
        <v>4458</v>
      </c>
      <c r="G441" s="187">
        <v>3126013</v>
      </c>
      <c r="H441" s="188" t="s">
        <v>4780</v>
      </c>
    </row>
    <row r="442" spans="1:8" ht="15" customHeight="1">
      <c r="A442" s="184">
        <f t="shared" si="12"/>
        <v>439</v>
      </c>
      <c r="B442" s="185">
        <v>7260</v>
      </c>
      <c r="C442" s="186" t="s">
        <v>4781</v>
      </c>
      <c r="D442" s="186" t="str">
        <f t="shared" si="13"/>
        <v>ODGOJNI DOM MALI LOŠINJ (7260)</v>
      </c>
      <c r="E442" s="186" t="s">
        <v>4782</v>
      </c>
      <c r="F442" s="186" t="s">
        <v>4387</v>
      </c>
      <c r="G442" s="187">
        <v>3040216</v>
      </c>
      <c r="H442" s="188" t="s">
        <v>4783</v>
      </c>
    </row>
    <row r="443" spans="1:8" s="178" customFormat="1" ht="15" customHeight="1">
      <c r="A443" s="173">
        <f t="shared" si="12"/>
        <v>440</v>
      </c>
      <c r="B443" s="180">
        <v>43214</v>
      </c>
      <c r="C443" s="181" t="s">
        <v>4784</v>
      </c>
      <c r="D443" s="186" t="str">
        <f t="shared" si="13"/>
        <v>MINISTARSTVO TURIZMA I SPORTA (43214)</v>
      </c>
      <c r="E443" s="181" t="s">
        <v>4036</v>
      </c>
      <c r="F443" s="181" t="s">
        <v>25</v>
      </c>
      <c r="G443" s="182">
        <v>2323427</v>
      </c>
      <c r="H443" s="183" t="s">
        <v>4785</v>
      </c>
    </row>
    <row r="444" spans="1:8" ht="15" customHeight="1">
      <c r="A444" s="173">
        <f t="shared" ref="A444:A507" si="14">+A443+1</f>
        <v>441</v>
      </c>
      <c r="B444" s="180" t="s">
        <v>4786</v>
      </c>
      <c r="C444" s="181" t="s">
        <v>4787</v>
      </c>
      <c r="D444" s="186" t="str">
        <f t="shared" si="13"/>
        <v>MINISTARSTVO ZDRAVSTVA (47107)</v>
      </c>
      <c r="E444" s="181" t="s">
        <v>4788</v>
      </c>
      <c r="F444" s="181" t="s">
        <v>25</v>
      </c>
      <c r="G444" s="182">
        <v>2830396</v>
      </c>
      <c r="H444" s="183" t="s">
        <v>4789</v>
      </c>
    </row>
    <row r="445" spans="1:8" ht="15" customHeight="1">
      <c r="A445" s="184">
        <f t="shared" si="14"/>
        <v>442</v>
      </c>
      <c r="B445" s="185">
        <v>26571</v>
      </c>
      <c r="C445" s="186" t="s">
        <v>4790</v>
      </c>
      <c r="D445" s="186" t="str">
        <f t="shared" si="13"/>
        <v>KLINIČKA BOLNICA DUBRAVA (26571)</v>
      </c>
      <c r="E445" s="186" t="s">
        <v>4791</v>
      </c>
      <c r="F445" s="186" t="s">
        <v>25</v>
      </c>
      <c r="G445" s="187">
        <v>3799913</v>
      </c>
      <c r="H445" s="188" t="s">
        <v>4792</v>
      </c>
    </row>
    <row r="446" spans="1:8" ht="15" customHeight="1">
      <c r="A446" s="184">
        <f t="shared" si="14"/>
        <v>443</v>
      </c>
      <c r="B446" s="185">
        <v>26387</v>
      </c>
      <c r="C446" s="186" t="s">
        <v>4793</v>
      </c>
      <c r="D446" s="186" t="str">
        <f t="shared" si="13"/>
        <v>KLINIČKA BOLNICA MERKUR (26387)</v>
      </c>
      <c r="E446" s="186" t="s">
        <v>4794</v>
      </c>
      <c r="F446" s="186" t="s">
        <v>25</v>
      </c>
      <c r="G446" s="187">
        <v>3279057</v>
      </c>
      <c r="H446" s="188" t="s">
        <v>4795</v>
      </c>
    </row>
    <row r="447" spans="1:8" ht="15" customHeight="1">
      <c r="A447" s="184">
        <f t="shared" si="14"/>
        <v>444</v>
      </c>
      <c r="B447" s="185">
        <v>26400</v>
      </c>
      <c r="C447" s="195" t="s">
        <v>4796</v>
      </c>
      <c r="D447" s="186" t="str">
        <f t="shared" si="13"/>
        <v>KLINIČKI BOLNIČKI CENTAR OSIJEK (26400)</v>
      </c>
      <c r="E447" s="186" t="s">
        <v>4797</v>
      </c>
      <c r="F447" s="186" t="s">
        <v>45</v>
      </c>
      <c r="G447" s="187">
        <v>3018822</v>
      </c>
      <c r="H447" s="188" t="s">
        <v>4798</v>
      </c>
    </row>
    <row r="448" spans="1:8" ht="15" customHeight="1">
      <c r="A448" s="184">
        <f t="shared" si="14"/>
        <v>445</v>
      </c>
      <c r="B448" s="185">
        <v>26379</v>
      </c>
      <c r="C448" s="186" t="s">
        <v>4799</v>
      </c>
      <c r="D448" s="186" t="str">
        <f t="shared" si="13"/>
        <v>KLINIČKI BOLNIČKI CENTAR RIJEKA (26379)</v>
      </c>
      <c r="E448" s="186" t="s">
        <v>4800</v>
      </c>
      <c r="F448" s="186" t="s">
        <v>126</v>
      </c>
      <c r="G448" s="187">
        <v>3368041</v>
      </c>
      <c r="H448" s="188" t="s">
        <v>4801</v>
      </c>
    </row>
    <row r="449" spans="1:8" ht="15" customHeight="1">
      <c r="A449" s="184">
        <f t="shared" si="14"/>
        <v>446</v>
      </c>
      <c r="B449" s="185">
        <v>26395</v>
      </c>
      <c r="C449" s="186" t="s">
        <v>4802</v>
      </c>
      <c r="D449" s="186" t="str">
        <f t="shared" si="13"/>
        <v>KLINIČKI BOLNIČKI CENTAR SESTRE MILOSRDNICE (26395)</v>
      </c>
      <c r="E449" s="186" t="s">
        <v>4803</v>
      </c>
      <c r="F449" s="186" t="s">
        <v>25</v>
      </c>
      <c r="G449" s="187">
        <v>3208036</v>
      </c>
      <c r="H449" s="188" t="s">
        <v>4804</v>
      </c>
    </row>
    <row r="450" spans="1:8" ht="15" customHeight="1">
      <c r="A450" s="184">
        <f t="shared" si="14"/>
        <v>447</v>
      </c>
      <c r="B450" s="185">
        <v>26418</v>
      </c>
      <c r="C450" s="195" t="s">
        <v>4805</v>
      </c>
      <c r="D450" s="186" t="str">
        <f t="shared" si="13"/>
        <v>KLINIČKI BOLNIČKI CENTAR SPLIT (26418)</v>
      </c>
      <c r="E450" s="186" t="s">
        <v>4806</v>
      </c>
      <c r="F450" s="186" t="s">
        <v>176</v>
      </c>
      <c r="G450" s="187">
        <v>242870</v>
      </c>
      <c r="H450" s="188" t="s">
        <v>4807</v>
      </c>
    </row>
    <row r="451" spans="1:8" ht="15" customHeight="1">
      <c r="A451" s="184">
        <f t="shared" si="14"/>
        <v>448</v>
      </c>
      <c r="B451" s="185">
        <v>38069</v>
      </c>
      <c r="C451" s="186" t="s">
        <v>4808</v>
      </c>
      <c r="D451" s="186" t="str">
        <f t="shared" si="13"/>
        <v>KLINIČKI BOLNIČKI CENTAR ZAGREB (38069)</v>
      </c>
      <c r="E451" s="186" t="s">
        <v>4809</v>
      </c>
      <c r="F451" s="186" t="s">
        <v>25</v>
      </c>
      <c r="G451" s="187">
        <v>3270777</v>
      </c>
      <c r="H451" s="188" t="s">
        <v>4810</v>
      </c>
    </row>
    <row r="452" spans="1:8" ht="15" customHeight="1">
      <c r="A452" s="184">
        <f t="shared" si="14"/>
        <v>449</v>
      </c>
      <c r="B452" s="185">
        <v>47893</v>
      </c>
      <c r="C452" s="186" t="s">
        <v>4811</v>
      </c>
      <c r="D452" s="186" t="str">
        <f t="shared" ref="D452:D515" si="15">C452&amp;" ("&amp;B452&amp;")"</f>
        <v>KLINIKA ZA DJEČJE BOLESTI ZAGREB (47893)</v>
      </c>
      <c r="E452" s="186" t="s">
        <v>4812</v>
      </c>
      <c r="F452" s="186" t="s">
        <v>25</v>
      </c>
      <c r="G452" s="187">
        <v>2874989</v>
      </c>
      <c r="H452" s="188" t="s">
        <v>4813</v>
      </c>
    </row>
    <row r="453" spans="1:8" ht="15" customHeight="1">
      <c r="A453" s="184">
        <f t="shared" si="14"/>
        <v>450</v>
      </c>
      <c r="B453" s="185">
        <v>26459</v>
      </c>
      <c r="C453" s="186" t="s">
        <v>4814</v>
      </c>
      <c r="D453" s="186" t="str">
        <f t="shared" si="15"/>
        <v>KLINIKA ZA INFEKTIVNE BOLESTI DR. FRAN MIHALJEVIĆ (26459)</v>
      </c>
      <c r="E453" s="186" t="s">
        <v>4815</v>
      </c>
      <c r="F453" s="186" t="s">
        <v>25</v>
      </c>
      <c r="G453" s="187">
        <v>3270793</v>
      </c>
      <c r="H453" s="188" t="s">
        <v>4816</v>
      </c>
    </row>
    <row r="454" spans="1:8" ht="15" customHeight="1">
      <c r="A454" s="184">
        <f t="shared" si="14"/>
        <v>451</v>
      </c>
      <c r="B454" s="185">
        <v>26426</v>
      </c>
      <c r="C454" s="195" t="s">
        <v>4817</v>
      </c>
      <c r="D454" s="186" t="str">
        <f t="shared" si="15"/>
        <v>KLINIKA ZA ORTOPEDIJU LOVRAN (26426)</v>
      </c>
      <c r="E454" s="186" t="s">
        <v>4818</v>
      </c>
      <c r="F454" s="186" t="s">
        <v>4174</v>
      </c>
      <c r="G454" s="187">
        <v>3090302</v>
      </c>
      <c r="H454" s="188" t="s">
        <v>4819</v>
      </c>
    </row>
    <row r="455" spans="1:8" ht="15" customHeight="1">
      <c r="A455" s="184">
        <f t="shared" si="14"/>
        <v>452</v>
      </c>
      <c r="B455" s="185">
        <v>38028</v>
      </c>
      <c r="C455" s="195" t="s">
        <v>4820</v>
      </c>
      <c r="D455" s="186" t="str">
        <f t="shared" si="15"/>
        <v>NACIONALNA MEMORIJALNA BOLNICA VUKOVAR (38028)</v>
      </c>
      <c r="E455" s="202" t="s">
        <v>4821</v>
      </c>
      <c r="F455" s="202" t="s">
        <v>331</v>
      </c>
      <c r="G455" s="197" t="s">
        <v>4822</v>
      </c>
      <c r="H455" s="203">
        <v>54896856295</v>
      </c>
    </row>
    <row r="456" spans="1:8" ht="15" customHeight="1">
      <c r="A456" s="184">
        <f t="shared" si="14"/>
        <v>453</v>
      </c>
      <c r="B456" s="185">
        <v>38655</v>
      </c>
      <c r="C456" s="186" t="s">
        <v>4823</v>
      </c>
      <c r="D456" s="186" t="str">
        <f t="shared" si="15"/>
        <v>DOM ZDRAVLJA MINISTARSTVA UNUTARNJIH POSLOVA REPUBLIKE HRVATSKE (38655)</v>
      </c>
      <c r="E456" s="186" t="s">
        <v>4824</v>
      </c>
      <c r="F456" s="186" t="s">
        <v>25</v>
      </c>
      <c r="G456" s="187">
        <v>3274314</v>
      </c>
      <c r="H456" s="188" t="s">
        <v>4825</v>
      </c>
    </row>
    <row r="457" spans="1:8" ht="15" customHeight="1">
      <c r="A457" s="184">
        <f t="shared" si="14"/>
        <v>454</v>
      </c>
      <c r="B457" s="185">
        <v>44573</v>
      </c>
      <c r="C457" s="186" t="s">
        <v>4826</v>
      </c>
      <c r="D457" s="186" t="str">
        <f t="shared" si="15"/>
        <v>HRVATSKI ZAVOD ZA HITNU MEDICINU (44573)</v>
      </c>
      <c r="E457" s="186" t="s">
        <v>4827</v>
      </c>
      <c r="F457" s="186" t="s">
        <v>25</v>
      </c>
      <c r="G457" s="187">
        <v>2536145</v>
      </c>
      <c r="H457" s="188" t="s">
        <v>4828</v>
      </c>
    </row>
    <row r="458" spans="1:8" ht="15" customHeight="1">
      <c r="A458" s="184">
        <f t="shared" si="14"/>
        <v>455</v>
      </c>
      <c r="B458" s="185">
        <v>26346</v>
      </c>
      <c r="C458" s="186" t="s">
        <v>4829</v>
      </c>
      <c r="D458" s="186" t="str">
        <f t="shared" si="15"/>
        <v>HRVATSKI ZAVOD ZA JAVNO ZDRAVSTVO (26346)</v>
      </c>
      <c r="E458" s="186" t="s">
        <v>4830</v>
      </c>
      <c r="F458" s="186" t="s">
        <v>25</v>
      </c>
      <c r="G458" s="187">
        <v>3270963</v>
      </c>
      <c r="H458" s="188" t="s">
        <v>4831</v>
      </c>
    </row>
    <row r="459" spans="1:8" ht="15" customHeight="1">
      <c r="A459" s="184">
        <f t="shared" si="14"/>
        <v>456</v>
      </c>
      <c r="B459" s="185">
        <v>26354</v>
      </c>
      <c r="C459" s="186" t="s">
        <v>4832</v>
      </c>
      <c r="D459" s="186" t="str">
        <f t="shared" si="15"/>
        <v>HRVATSKI ZAVOD ZA TRANSFUZIJSKU MEDICINU (26354)</v>
      </c>
      <c r="E459" s="186" t="s">
        <v>4833</v>
      </c>
      <c r="F459" s="186" t="s">
        <v>25</v>
      </c>
      <c r="G459" s="187">
        <v>3281973</v>
      </c>
      <c r="H459" s="188" t="s">
        <v>4834</v>
      </c>
    </row>
    <row r="460" spans="1:8" ht="15" customHeight="1">
      <c r="A460" s="184">
        <f t="shared" si="14"/>
        <v>457</v>
      </c>
      <c r="B460" s="185">
        <v>23616</v>
      </c>
      <c r="C460" s="186" t="s">
        <v>4835</v>
      </c>
      <c r="D460" s="186" t="str">
        <f t="shared" si="15"/>
        <v>IMUNOLOŠKI ZAVOD (23616)</v>
      </c>
      <c r="E460" s="186" t="s">
        <v>4836</v>
      </c>
      <c r="F460" s="186" t="s">
        <v>25</v>
      </c>
      <c r="G460" s="189" t="s">
        <v>4837</v>
      </c>
      <c r="H460" s="206" t="s">
        <v>4838</v>
      </c>
    </row>
    <row r="461" spans="1:8" ht="15" customHeight="1">
      <c r="A461" s="173">
        <f t="shared" si="14"/>
        <v>458</v>
      </c>
      <c r="B461" s="180">
        <v>21828</v>
      </c>
      <c r="C461" s="181" t="s">
        <v>4839</v>
      </c>
      <c r="D461" s="186" t="str">
        <f t="shared" si="15"/>
        <v>HRVATSKA AKADEMIJA ZNANOSTI I UMJETNOSTI (21828)</v>
      </c>
      <c r="E461" s="181" t="s">
        <v>4840</v>
      </c>
      <c r="F461" s="181" t="s">
        <v>25</v>
      </c>
      <c r="G461" s="182">
        <v>3205207</v>
      </c>
      <c r="H461" s="183" t="s">
        <v>4841</v>
      </c>
    </row>
    <row r="462" spans="1:8" ht="15" customHeight="1">
      <c r="A462" s="173">
        <f t="shared" si="14"/>
        <v>459</v>
      </c>
      <c r="B462" s="180">
        <v>51441</v>
      </c>
      <c r="C462" s="181" t="s">
        <v>4842</v>
      </c>
      <c r="D462" s="186" t="str">
        <f t="shared" si="15"/>
        <v>MINISTARSTVO PRAVOSUĐA I UPRAVE (51441)</v>
      </c>
      <c r="E462" s="181" t="s">
        <v>4843</v>
      </c>
      <c r="F462" s="181" t="s">
        <v>25</v>
      </c>
      <c r="G462" s="182">
        <v>5287260</v>
      </c>
      <c r="H462" s="183" t="s">
        <v>4844</v>
      </c>
    </row>
    <row r="463" spans="1:8" ht="15" customHeight="1">
      <c r="A463" s="184">
        <f t="shared" si="14"/>
        <v>460</v>
      </c>
      <c r="B463" s="185">
        <v>45978</v>
      </c>
      <c r="C463" s="186" t="s">
        <v>4845</v>
      </c>
      <c r="D463" s="186" t="str">
        <f t="shared" si="15"/>
        <v>PRAVOSUDNA AKADEMIJA (45978)</v>
      </c>
      <c r="E463" s="186" t="s">
        <v>4843</v>
      </c>
      <c r="F463" s="186" t="s">
        <v>25</v>
      </c>
      <c r="G463" s="187" t="s">
        <v>4846</v>
      </c>
      <c r="H463" s="207" t="s">
        <v>4847</v>
      </c>
    </row>
    <row r="464" spans="1:8" ht="15" customHeight="1">
      <c r="A464" s="184">
        <f t="shared" si="14"/>
        <v>461</v>
      </c>
      <c r="B464" s="185">
        <v>47668</v>
      </c>
      <c r="C464" s="186" t="s">
        <v>4848</v>
      </c>
      <c r="D464" s="186" t="str">
        <f t="shared" si="15"/>
        <v>CENTAR ZA DIJAGNOSTIKU U ZAGREBU (47668)</v>
      </c>
      <c r="E464" s="186" t="s">
        <v>4849</v>
      </c>
      <c r="F464" s="186" t="s">
        <v>471</v>
      </c>
      <c r="G464" s="187" t="s">
        <v>4850</v>
      </c>
      <c r="H464" s="207">
        <v>95770301332</v>
      </c>
    </row>
    <row r="465" spans="1:8" ht="15" customHeight="1">
      <c r="A465" s="184">
        <f t="shared" si="14"/>
        <v>462</v>
      </c>
      <c r="B465" s="185">
        <v>24086</v>
      </c>
      <c r="C465" s="186" t="s">
        <v>4851</v>
      </c>
      <c r="D465" s="186" t="str">
        <f t="shared" si="15"/>
        <v>CENTAR ZA IZOBRAZBU  (24086)</v>
      </c>
      <c r="E465" s="186" t="s">
        <v>4849</v>
      </c>
      <c r="F465" s="186" t="s">
        <v>25</v>
      </c>
      <c r="G465" s="187">
        <v>1740024</v>
      </c>
      <c r="H465" s="188" t="s">
        <v>4852</v>
      </c>
    </row>
    <row r="466" spans="1:8" ht="15" customHeight="1">
      <c r="A466" s="184">
        <f t="shared" si="14"/>
        <v>463</v>
      </c>
      <c r="B466" s="185">
        <v>20727</v>
      </c>
      <c r="C466" s="186" t="s">
        <v>4853</v>
      </c>
      <c r="D466" s="186" t="str">
        <f t="shared" si="15"/>
        <v>KAZNIONICA U GLINI (20727)</v>
      </c>
      <c r="E466" s="186" t="s">
        <v>4854</v>
      </c>
      <c r="F466" s="186" t="s">
        <v>4439</v>
      </c>
      <c r="G466" s="187">
        <v>1149695</v>
      </c>
      <c r="H466" s="188" t="s">
        <v>4855</v>
      </c>
    </row>
    <row r="467" spans="1:8" ht="15" customHeight="1">
      <c r="A467" s="184">
        <f t="shared" si="14"/>
        <v>464</v>
      </c>
      <c r="B467" s="185">
        <v>3164</v>
      </c>
      <c r="C467" s="186" t="s">
        <v>4856</v>
      </c>
      <c r="D467" s="186" t="str">
        <f t="shared" si="15"/>
        <v>KAZNIONICA U LEPOGLAVI (3164)</v>
      </c>
      <c r="E467" s="186" t="s">
        <v>4857</v>
      </c>
      <c r="F467" s="186" t="s">
        <v>4858</v>
      </c>
      <c r="G467" s="187">
        <v>3125971</v>
      </c>
      <c r="H467" s="188" t="s">
        <v>4859</v>
      </c>
    </row>
    <row r="468" spans="1:8" ht="15" customHeight="1">
      <c r="A468" s="184">
        <f t="shared" si="14"/>
        <v>465</v>
      </c>
      <c r="B468" s="185">
        <v>3172</v>
      </c>
      <c r="C468" s="186" t="s">
        <v>4860</v>
      </c>
      <c r="D468" s="186" t="str">
        <f t="shared" si="15"/>
        <v>KAZNIONICA U LIPOVICI - POPOVAČA (3172)</v>
      </c>
      <c r="E468" s="186" t="s">
        <v>4861</v>
      </c>
      <c r="F468" s="186" t="s">
        <v>4862</v>
      </c>
      <c r="G468" s="187">
        <v>3331482</v>
      </c>
      <c r="H468" s="188" t="s">
        <v>4863</v>
      </c>
    </row>
    <row r="469" spans="1:8" ht="15" customHeight="1">
      <c r="A469" s="184">
        <f t="shared" si="14"/>
        <v>466</v>
      </c>
      <c r="B469" s="185">
        <v>50395</v>
      </c>
      <c r="C469" s="186" t="s">
        <v>4864</v>
      </c>
      <c r="D469" s="186" t="str">
        <f t="shared" si="15"/>
        <v>KAZNIONICA U POŽEGI (50395)</v>
      </c>
      <c r="E469" s="186" t="s">
        <v>4865</v>
      </c>
      <c r="F469" s="186" t="s">
        <v>4216</v>
      </c>
      <c r="G469" s="187">
        <v>4982495</v>
      </c>
      <c r="H469" s="188" t="s">
        <v>4866</v>
      </c>
    </row>
    <row r="470" spans="1:8" ht="15" customHeight="1">
      <c r="A470" s="184">
        <f t="shared" si="14"/>
        <v>467</v>
      </c>
      <c r="B470" s="185">
        <v>3197</v>
      </c>
      <c r="C470" s="186" t="s">
        <v>4867</v>
      </c>
      <c r="D470" s="186" t="str">
        <f t="shared" si="15"/>
        <v>KAZNIONICA U TUROPOLJU (3197)</v>
      </c>
      <c r="E470" s="186" t="s">
        <v>4868</v>
      </c>
      <c r="F470" s="186" t="s">
        <v>3794</v>
      </c>
      <c r="G470" s="187">
        <v>3230015</v>
      </c>
      <c r="H470" s="188" t="s">
        <v>4869</v>
      </c>
    </row>
    <row r="471" spans="1:8" ht="15" customHeight="1">
      <c r="A471" s="184">
        <f t="shared" si="14"/>
        <v>468</v>
      </c>
      <c r="B471" s="185">
        <v>3201</v>
      </c>
      <c r="C471" s="186" t="s">
        <v>4870</v>
      </c>
      <c r="D471" s="186" t="str">
        <f t="shared" si="15"/>
        <v>KAZNIONICA U VALTURI (3201)</v>
      </c>
      <c r="E471" s="186" t="s">
        <v>4871</v>
      </c>
      <c r="F471" s="186" t="s">
        <v>110</v>
      </c>
      <c r="G471" s="187">
        <v>3221784</v>
      </c>
      <c r="H471" s="188" t="s">
        <v>4872</v>
      </c>
    </row>
    <row r="472" spans="1:8" ht="15" customHeight="1">
      <c r="A472" s="184">
        <f t="shared" si="14"/>
        <v>469</v>
      </c>
      <c r="B472" s="185">
        <v>3156</v>
      </c>
      <c r="C472" s="186" t="s">
        <v>4873</v>
      </c>
      <c r="D472" s="186" t="str">
        <f t="shared" si="15"/>
        <v>ODGOJNI ZAVOD TUROPOLJE (3156)</v>
      </c>
      <c r="E472" s="186" t="s">
        <v>4874</v>
      </c>
      <c r="F472" s="186" t="s">
        <v>3794</v>
      </c>
      <c r="G472" s="187">
        <v>3126498</v>
      </c>
      <c r="H472" s="188" t="s">
        <v>4875</v>
      </c>
    </row>
    <row r="473" spans="1:8" ht="15" customHeight="1">
      <c r="A473" s="184">
        <f t="shared" si="14"/>
        <v>470</v>
      </c>
      <c r="B473" s="185">
        <v>46614</v>
      </c>
      <c r="C473" s="186" t="s">
        <v>4876</v>
      </c>
      <c r="D473" s="186" t="str">
        <f t="shared" si="15"/>
        <v>ODGOJNI ZAVOD U POŽEGI (46614)</v>
      </c>
      <c r="E473" s="186" t="s">
        <v>4865</v>
      </c>
      <c r="F473" s="186" t="s">
        <v>4216</v>
      </c>
      <c r="G473" s="187">
        <v>3342719</v>
      </c>
      <c r="H473" s="188" t="s">
        <v>4877</v>
      </c>
    </row>
    <row r="474" spans="1:8" ht="15" customHeight="1">
      <c r="A474" s="184">
        <f t="shared" si="14"/>
        <v>471</v>
      </c>
      <c r="B474" s="185">
        <v>3210</v>
      </c>
      <c r="C474" s="186" t="s">
        <v>4878</v>
      </c>
      <c r="D474" s="186" t="str">
        <f t="shared" si="15"/>
        <v>ZATVOR U BJELOVARU (3210)</v>
      </c>
      <c r="E474" s="186" t="s">
        <v>4879</v>
      </c>
      <c r="F474" s="186" t="s">
        <v>3864</v>
      </c>
      <c r="G474" s="187">
        <v>3331369</v>
      </c>
      <c r="H474" s="188" t="s">
        <v>4880</v>
      </c>
    </row>
    <row r="475" spans="1:8" ht="15" customHeight="1">
      <c r="A475" s="184">
        <f t="shared" si="14"/>
        <v>472</v>
      </c>
      <c r="B475" s="185">
        <v>3228</v>
      </c>
      <c r="C475" s="186" t="s">
        <v>4881</v>
      </c>
      <c r="D475" s="186" t="str">
        <f t="shared" si="15"/>
        <v>ZATVOR U DUBROVNIKU  (3228)</v>
      </c>
      <c r="E475" s="186" t="s">
        <v>4882</v>
      </c>
      <c r="F475" s="186" t="s">
        <v>120</v>
      </c>
      <c r="G475" s="187">
        <v>3312062</v>
      </c>
      <c r="H475" s="188" t="s">
        <v>4883</v>
      </c>
    </row>
    <row r="476" spans="1:8" ht="15" customHeight="1">
      <c r="A476" s="184">
        <f t="shared" si="14"/>
        <v>473</v>
      </c>
      <c r="B476" s="185">
        <v>3236</v>
      </c>
      <c r="C476" s="186" t="s">
        <v>4884</v>
      </c>
      <c r="D476" s="186" t="str">
        <f t="shared" si="15"/>
        <v>ZATVOR U GOSPIĆU (3236)</v>
      </c>
      <c r="E476" s="186" t="s">
        <v>4885</v>
      </c>
      <c r="F476" s="186" t="s">
        <v>339</v>
      </c>
      <c r="G476" s="187">
        <v>3345971</v>
      </c>
      <c r="H476" s="188" t="s">
        <v>4886</v>
      </c>
    </row>
    <row r="477" spans="1:8" ht="15" customHeight="1">
      <c r="A477" s="184">
        <f t="shared" si="14"/>
        <v>474</v>
      </c>
      <c r="B477" s="185">
        <v>3244</v>
      </c>
      <c r="C477" s="186" t="s">
        <v>4887</v>
      </c>
      <c r="D477" s="186" t="str">
        <f t="shared" si="15"/>
        <v>ZATVOR U KARLOVCU (3244)</v>
      </c>
      <c r="E477" s="186" t="s">
        <v>4888</v>
      </c>
      <c r="F477" s="186" t="s">
        <v>343</v>
      </c>
      <c r="G477" s="187">
        <v>3141667</v>
      </c>
      <c r="H477" s="188" t="s">
        <v>4889</v>
      </c>
    </row>
    <row r="478" spans="1:8" ht="15" customHeight="1">
      <c r="A478" s="184">
        <f t="shared" si="14"/>
        <v>475</v>
      </c>
      <c r="B478" s="185">
        <v>3252</v>
      </c>
      <c r="C478" s="186" t="s">
        <v>4890</v>
      </c>
      <c r="D478" s="186" t="str">
        <f t="shared" si="15"/>
        <v>ZATVOR U OSIJEKU (3252)</v>
      </c>
      <c r="E478" s="186" t="s">
        <v>4891</v>
      </c>
      <c r="F478" s="186" t="s">
        <v>45</v>
      </c>
      <c r="G478" s="187">
        <v>3055264</v>
      </c>
      <c r="H478" s="188" t="s">
        <v>4892</v>
      </c>
    </row>
    <row r="479" spans="1:8" ht="15" customHeight="1">
      <c r="A479" s="184">
        <f t="shared" si="14"/>
        <v>476</v>
      </c>
      <c r="B479" s="185">
        <v>50400</v>
      </c>
      <c r="C479" s="186" t="s">
        <v>4893</v>
      </c>
      <c r="D479" s="186" t="str">
        <f t="shared" si="15"/>
        <v>ZATVOR U POŽEGI (50400)</v>
      </c>
      <c r="E479" s="186" t="s">
        <v>4894</v>
      </c>
      <c r="F479" s="186" t="s">
        <v>4216</v>
      </c>
      <c r="G479" s="187">
        <v>4982533</v>
      </c>
      <c r="H479" s="188" t="s">
        <v>4895</v>
      </c>
    </row>
    <row r="480" spans="1:8" ht="15" customHeight="1">
      <c r="A480" s="184">
        <f t="shared" si="14"/>
        <v>477</v>
      </c>
      <c r="B480" s="185">
        <v>3277</v>
      </c>
      <c r="C480" s="186" t="s">
        <v>4896</v>
      </c>
      <c r="D480" s="186" t="str">
        <f t="shared" si="15"/>
        <v>ZATVOR U PULI (3277)</v>
      </c>
      <c r="E480" s="186" t="s">
        <v>4897</v>
      </c>
      <c r="F480" s="186" t="s">
        <v>110</v>
      </c>
      <c r="G480" s="187">
        <v>3227693</v>
      </c>
      <c r="H480" s="188" t="s">
        <v>4898</v>
      </c>
    </row>
    <row r="481" spans="1:8" ht="15" customHeight="1">
      <c r="A481" s="184">
        <f t="shared" si="14"/>
        <v>478</v>
      </c>
      <c r="B481" s="185">
        <v>3285</v>
      </c>
      <c r="C481" s="186" t="s">
        <v>4899</v>
      </c>
      <c r="D481" s="186" t="str">
        <f t="shared" si="15"/>
        <v>ZATVOR U RIJECI (3285)</v>
      </c>
      <c r="E481" s="186" t="s">
        <v>4900</v>
      </c>
      <c r="F481" s="186" t="s">
        <v>126</v>
      </c>
      <c r="G481" s="187">
        <v>3341640</v>
      </c>
      <c r="H481" s="188" t="s">
        <v>4901</v>
      </c>
    </row>
    <row r="482" spans="1:8" ht="15" customHeight="1">
      <c r="A482" s="184">
        <f t="shared" si="14"/>
        <v>479</v>
      </c>
      <c r="B482" s="185">
        <v>3293</v>
      </c>
      <c r="C482" s="186" t="s">
        <v>4902</v>
      </c>
      <c r="D482" s="186" t="str">
        <f t="shared" si="15"/>
        <v>ZATVOR U SISKU (3293)</v>
      </c>
      <c r="E482" s="186" t="s">
        <v>4903</v>
      </c>
      <c r="F482" s="186" t="s">
        <v>293</v>
      </c>
      <c r="G482" s="187">
        <v>3314707</v>
      </c>
      <c r="H482" s="188" t="s">
        <v>4904</v>
      </c>
    </row>
    <row r="483" spans="1:8" ht="15" customHeight="1">
      <c r="A483" s="184">
        <f t="shared" si="14"/>
        <v>480</v>
      </c>
      <c r="B483" s="185">
        <v>3308</v>
      </c>
      <c r="C483" s="186" t="s">
        <v>4905</v>
      </c>
      <c r="D483" s="186" t="str">
        <f t="shared" si="15"/>
        <v>ZATVOR U SPLITU (3308)</v>
      </c>
      <c r="E483" s="186" t="s">
        <v>4906</v>
      </c>
      <c r="F483" s="186" t="s">
        <v>176</v>
      </c>
      <c r="G483" s="187">
        <v>3148262</v>
      </c>
      <c r="H483" s="188" t="s">
        <v>4907</v>
      </c>
    </row>
    <row r="484" spans="1:8" ht="15" customHeight="1">
      <c r="A484" s="184">
        <f t="shared" si="14"/>
        <v>481</v>
      </c>
      <c r="B484" s="185">
        <v>3316</v>
      </c>
      <c r="C484" s="186" t="s">
        <v>4908</v>
      </c>
      <c r="D484" s="186" t="str">
        <f t="shared" si="15"/>
        <v>ZATVOR U ŠIBENIKU (3316)</v>
      </c>
      <c r="E484" s="186" t="s">
        <v>4909</v>
      </c>
      <c r="F484" s="186" t="s">
        <v>350</v>
      </c>
      <c r="G484" s="187">
        <v>3060870</v>
      </c>
      <c r="H484" s="188" t="s">
        <v>4910</v>
      </c>
    </row>
    <row r="485" spans="1:8" ht="15" customHeight="1">
      <c r="A485" s="184">
        <f t="shared" si="14"/>
        <v>482</v>
      </c>
      <c r="B485" s="185">
        <v>3324</v>
      </c>
      <c r="C485" s="186" t="s">
        <v>4911</v>
      </c>
      <c r="D485" s="186" t="str">
        <f t="shared" si="15"/>
        <v>ZATVOR U VARAŽDINU (3324)</v>
      </c>
      <c r="E485" s="186" t="s">
        <v>4912</v>
      </c>
      <c r="F485" s="186" t="s">
        <v>32</v>
      </c>
      <c r="G485" s="187">
        <v>3048560</v>
      </c>
      <c r="H485" s="188" t="s">
        <v>4913</v>
      </c>
    </row>
    <row r="486" spans="1:8" ht="15" customHeight="1">
      <c r="A486" s="184">
        <f t="shared" si="14"/>
        <v>483</v>
      </c>
      <c r="B486" s="185">
        <v>3332</v>
      </c>
      <c r="C486" s="186" t="s">
        <v>4914</v>
      </c>
      <c r="D486" s="186" t="str">
        <f t="shared" si="15"/>
        <v>ZATVOR U ZADRU (3332)</v>
      </c>
      <c r="E486" s="186" t="s">
        <v>4915</v>
      </c>
      <c r="F486" s="186" t="s">
        <v>218</v>
      </c>
      <c r="G486" s="187">
        <v>3159973</v>
      </c>
      <c r="H486" s="188" t="s">
        <v>4916</v>
      </c>
    </row>
    <row r="487" spans="1:8" ht="15" customHeight="1">
      <c r="A487" s="184">
        <f t="shared" si="14"/>
        <v>484</v>
      </c>
      <c r="B487" s="185">
        <v>3349</v>
      </c>
      <c r="C487" s="186" t="s">
        <v>4917</v>
      </c>
      <c r="D487" s="186" t="str">
        <f t="shared" si="15"/>
        <v>ZATVOR U ZAGREBU (3349)</v>
      </c>
      <c r="E487" s="186" t="s">
        <v>4849</v>
      </c>
      <c r="F487" s="186" t="s">
        <v>25</v>
      </c>
      <c r="G487" s="187">
        <v>3226476</v>
      </c>
      <c r="H487" s="188" t="s">
        <v>4918</v>
      </c>
    </row>
    <row r="488" spans="1:8" ht="15" customHeight="1">
      <c r="A488" s="184">
        <f t="shared" si="14"/>
        <v>485</v>
      </c>
      <c r="B488" s="185">
        <v>3148</v>
      </c>
      <c r="C488" s="186" t="s">
        <v>4919</v>
      </c>
      <c r="D488" s="186" t="str">
        <f t="shared" si="15"/>
        <v>ZATVORSKA BOLNICA U ZAGREBU (3148)</v>
      </c>
      <c r="E488" s="186" t="s">
        <v>4920</v>
      </c>
      <c r="F488" s="186" t="s">
        <v>25</v>
      </c>
      <c r="G488" s="187">
        <v>3283089</v>
      </c>
      <c r="H488" s="188" t="s">
        <v>4921</v>
      </c>
    </row>
    <row r="489" spans="1:8" ht="15" customHeight="1">
      <c r="A489" s="184">
        <f t="shared" si="14"/>
        <v>486</v>
      </c>
      <c r="B489" s="185">
        <v>3357</v>
      </c>
      <c r="C489" s="186" t="s">
        <v>4922</v>
      </c>
      <c r="D489" s="186" t="str">
        <f t="shared" si="15"/>
        <v>VRHOVNI SUD REPUBLIKE HRVATSKE (3357)</v>
      </c>
      <c r="E489" s="186" t="s">
        <v>4923</v>
      </c>
      <c r="F489" s="186" t="s">
        <v>25</v>
      </c>
      <c r="G489" s="187">
        <v>3206050</v>
      </c>
      <c r="H489" s="188" t="s">
        <v>4924</v>
      </c>
    </row>
    <row r="490" spans="1:8" ht="15" customHeight="1">
      <c r="A490" s="184">
        <f t="shared" si="14"/>
        <v>487</v>
      </c>
      <c r="B490" s="185">
        <v>3582</v>
      </c>
      <c r="C490" s="186" t="s">
        <v>4925</v>
      </c>
      <c r="D490" s="186" t="str">
        <f t="shared" si="15"/>
        <v>VISOKI TRGOVAČKI SUD REPUBLIKE HRVATSKE (3582)</v>
      </c>
      <c r="E490" s="186" t="s">
        <v>4926</v>
      </c>
      <c r="F490" s="186" t="s">
        <v>25</v>
      </c>
      <c r="G490" s="187">
        <v>3271064</v>
      </c>
      <c r="H490" s="188" t="s">
        <v>4927</v>
      </c>
    </row>
    <row r="491" spans="1:8" ht="15" customHeight="1">
      <c r="A491" s="184">
        <f t="shared" si="14"/>
        <v>488</v>
      </c>
      <c r="B491" s="185">
        <v>20639</v>
      </c>
      <c r="C491" s="186" t="s">
        <v>4928</v>
      </c>
      <c r="D491" s="186" t="str">
        <f t="shared" si="15"/>
        <v>VISOKI UPRAVNI SUD REPUBLIKE HRVATSKE (20639)</v>
      </c>
      <c r="E491" s="186" t="s">
        <v>4929</v>
      </c>
      <c r="F491" s="186" t="s">
        <v>25</v>
      </c>
      <c r="G491" s="187">
        <v>3232719</v>
      </c>
      <c r="H491" s="188" t="s">
        <v>4930</v>
      </c>
    </row>
    <row r="492" spans="1:8" ht="15" customHeight="1">
      <c r="A492" s="184">
        <f t="shared" si="14"/>
        <v>489</v>
      </c>
      <c r="B492" s="185">
        <v>47140</v>
      </c>
      <c r="C492" s="186" t="s">
        <v>4931</v>
      </c>
      <c r="D492" s="186" t="str">
        <f t="shared" si="15"/>
        <v>UPRAVNI SUD U OSIJEKU (47140)</v>
      </c>
      <c r="E492" s="186" t="s">
        <v>4932</v>
      </c>
      <c r="F492" s="186" t="s">
        <v>45</v>
      </c>
      <c r="G492" s="187">
        <v>2790416</v>
      </c>
      <c r="H492" s="188" t="s">
        <v>4933</v>
      </c>
    </row>
    <row r="493" spans="1:8" ht="15" customHeight="1">
      <c r="A493" s="184">
        <f t="shared" si="14"/>
        <v>490</v>
      </c>
      <c r="B493" s="185">
        <v>47158</v>
      </c>
      <c r="C493" s="186" t="s">
        <v>4934</v>
      </c>
      <c r="D493" s="186" t="str">
        <f t="shared" si="15"/>
        <v>UPRAVNI SUD U RIJECI (47158)</v>
      </c>
      <c r="E493" s="186" t="s">
        <v>4935</v>
      </c>
      <c r="F493" s="186" t="s">
        <v>126</v>
      </c>
      <c r="G493" s="187">
        <v>2790424</v>
      </c>
      <c r="H493" s="188" t="s">
        <v>4936</v>
      </c>
    </row>
    <row r="494" spans="1:8" ht="15" customHeight="1">
      <c r="A494" s="184">
        <f t="shared" si="14"/>
        <v>491</v>
      </c>
      <c r="B494" s="185">
        <v>47203</v>
      </c>
      <c r="C494" s="186" t="s">
        <v>4937</v>
      </c>
      <c r="D494" s="186" t="str">
        <f t="shared" si="15"/>
        <v>UPRAVNI SUD U SPLITU (47203)</v>
      </c>
      <c r="E494" s="186" t="s">
        <v>4938</v>
      </c>
      <c r="F494" s="186" t="s">
        <v>176</v>
      </c>
      <c r="G494" s="187">
        <v>2790432</v>
      </c>
      <c r="H494" s="188" t="s">
        <v>4939</v>
      </c>
    </row>
    <row r="495" spans="1:8" ht="15" customHeight="1">
      <c r="A495" s="184">
        <f t="shared" si="14"/>
        <v>492</v>
      </c>
      <c r="B495" s="185">
        <v>47199</v>
      </c>
      <c r="C495" s="186" t="s">
        <v>4940</v>
      </c>
      <c r="D495" s="186" t="str">
        <f t="shared" si="15"/>
        <v>UPRAVNI SUD U ZAGREBU (47199)</v>
      </c>
      <c r="E495" s="186" t="s">
        <v>4941</v>
      </c>
      <c r="F495" s="186" t="s">
        <v>25</v>
      </c>
      <c r="G495" s="187">
        <v>2790467</v>
      </c>
      <c r="H495" s="188" t="s">
        <v>4942</v>
      </c>
    </row>
    <row r="496" spans="1:8" ht="15" customHeight="1">
      <c r="A496" s="184">
        <f t="shared" si="14"/>
        <v>493</v>
      </c>
      <c r="B496" s="185">
        <v>3365</v>
      </c>
      <c r="C496" s="186" t="s">
        <v>4943</v>
      </c>
      <c r="D496" s="186" t="str">
        <f t="shared" si="15"/>
        <v>DRŽAVNO ODVJETNIŠTVO REPUBLIKE HRVATSKE (3365)</v>
      </c>
      <c r="E496" s="186" t="s">
        <v>4944</v>
      </c>
      <c r="F496" s="186" t="s">
        <v>25</v>
      </c>
      <c r="G496" s="187">
        <v>3277151</v>
      </c>
      <c r="H496" s="188" t="s">
        <v>4945</v>
      </c>
    </row>
    <row r="497" spans="1:8" ht="15" customHeight="1">
      <c r="A497" s="184">
        <f t="shared" si="14"/>
        <v>494</v>
      </c>
      <c r="B497" s="185">
        <v>47287</v>
      </c>
      <c r="C497" s="186" t="s">
        <v>4946</v>
      </c>
      <c r="D497" s="186" t="str">
        <f t="shared" si="15"/>
        <v>DRŽAVNO ODVJETNIČKO VIJEĆE (47287)</v>
      </c>
      <c r="E497" s="186" t="s">
        <v>4843</v>
      </c>
      <c r="F497" s="186" t="s">
        <v>25</v>
      </c>
      <c r="G497" s="187">
        <v>2797712</v>
      </c>
      <c r="H497" s="188" t="s">
        <v>4947</v>
      </c>
    </row>
    <row r="498" spans="1:8" ht="15" customHeight="1">
      <c r="A498" s="184">
        <f t="shared" si="14"/>
        <v>495</v>
      </c>
      <c r="B498" s="185">
        <v>47295</v>
      </c>
      <c r="C498" s="186" t="s">
        <v>4948</v>
      </c>
      <c r="D498" s="186" t="str">
        <f t="shared" si="15"/>
        <v>DRŽAVNO SUDBENO VIJEĆE (47295)</v>
      </c>
      <c r="E498" s="186" t="s">
        <v>4949</v>
      </c>
      <c r="F498" s="186" t="s">
        <v>25</v>
      </c>
      <c r="G498" s="187">
        <v>2747987</v>
      </c>
      <c r="H498" s="188" t="s">
        <v>4950</v>
      </c>
    </row>
    <row r="499" spans="1:8" ht="15" customHeight="1">
      <c r="A499" s="184">
        <f t="shared" si="14"/>
        <v>496</v>
      </c>
      <c r="B499" s="185">
        <v>3381</v>
      </c>
      <c r="C499" s="186" t="s">
        <v>4951</v>
      </c>
      <c r="D499" s="186" t="str">
        <f t="shared" si="15"/>
        <v>VISOKI PREKRŠAJNII SUD REPUBLIKE HRVATSKE (3381)</v>
      </c>
      <c r="E499" s="186" t="s">
        <v>4952</v>
      </c>
      <c r="F499" s="186" t="s">
        <v>25</v>
      </c>
      <c r="G499" s="187">
        <v>3206068</v>
      </c>
      <c r="H499" s="188" t="s">
        <v>4953</v>
      </c>
    </row>
    <row r="500" spans="1:8" ht="15" customHeight="1">
      <c r="A500" s="184">
        <f t="shared" si="14"/>
        <v>497</v>
      </c>
      <c r="B500" s="185">
        <v>50928</v>
      </c>
      <c r="C500" s="186" t="s">
        <v>4954</v>
      </c>
      <c r="D500" s="186" t="str">
        <f t="shared" si="15"/>
        <v>VISOKI KAZNENI SUD REPUBLIKE HRVATSKE (50928)</v>
      </c>
      <c r="E500" s="186" t="s">
        <v>4955</v>
      </c>
      <c r="F500" s="186" t="s">
        <v>25</v>
      </c>
      <c r="G500" s="187">
        <v>5090890</v>
      </c>
      <c r="H500" s="188" t="s">
        <v>4956</v>
      </c>
    </row>
    <row r="501" spans="1:8" ht="15" customHeight="1">
      <c r="A501" s="184">
        <f t="shared" si="14"/>
        <v>498</v>
      </c>
      <c r="B501" s="185">
        <v>20743</v>
      </c>
      <c r="C501" s="186" t="s">
        <v>4957</v>
      </c>
      <c r="D501" s="186" t="str">
        <f t="shared" si="15"/>
        <v>ŽUPANIJSKI SUD U BJELOVARU (20743)</v>
      </c>
      <c r="E501" s="186" t="s">
        <v>4958</v>
      </c>
      <c r="F501" s="186" t="s">
        <v>3864</v>
      </c>
      <c r="G501" s="187">
        <v>3308677</v>
      </c>
      <c r="H501" s="188" t="s">
        <v>4959</v>
      </c>
    </row>
    <row r="502" spans="1:8" ht="15" customHeight="1">
      <c r="A502" s="184">
        <f t="shared" si="14"/>
        <v>499</v>
      </c>
      <c r="B502" s="185">
        <v>3390</v>
      </c>
      <c r="C502" s="186" t="s">
        <v>4960</v>
      </c>
      <c r="D502" s="186" t="str">
        <f t="shared" si="15"/>
        <v>ŽUPANIJSKI SUD U DUBROVNIKU (3390)</v>
      </c>
      <c r="E502" s="186" t="s">
        <v>4961</v>
      </c>
      <c r="F502" s="186" t="s">
        <v>120</v>
      </c>
      <c r="G502" s="187">
        <v>3304680</v>
      </c>
      <c r="H502" s="188" t="s">
        <v>4962</v>
      </c>
    </row>
    <row r="503" spans="1:8" ht="15" customHeight="1">
      <c r="A503" s="184">
        <f t="shared" si="14"/>
        <v>500</v>
      </c>
      <c r="B503" s="185">
        <v>3412</v>
      </c>
      <c r="C503" s="186" t="s">
        <v>4963</v>
      </c>
      <c r="D503" s="186" t="str">
        <f t="shared" si="15"/>
        <v>ŽUPANIJSKI SUD U KARLOVCU (3412)</v>
      </c>
      <c r="E503" s="186" t="s">
        <v>4964</v>
      </c>
      <c r="F503" s="186" t="s">
        <v>343</v>
      </c>
      <c r="G503" s="187">
        <v>3123502</v>
      </c>
      <c r="H503" s="188" t="s">
        <v>4965</v>
      </c>
    </row>
    <row r="504" spans="1:8" ht="15" customHeight="1">
      <c r="A504" s="184">
        <f t="shared" si="14"/>
        <v>501</v>
      </c>
      <c r="B504" s="185">
        <v>3429</v>
      </c>
      <c r="C504" s="186" t="s">
        <v>4966</v>
      </c>
      <c r="D504" s="186" t="str">
        <f t="shared" si="15"/>
        <v>ŽUPANIJSKI SUD U OSIJEKU (3429)</v>
      </c>
      <c r="E504" s="186" t="s">
        <v>4967</v>
      </c>
      <c r="F504" s="186" t="s">
        <v>45</v>
      </c>
      <c r="G504" s="187">
        <v>3014819</v>
      </c>
      <c r="H504" s="188" t="s">
        <v>4968</v>
      </c>
    </row>
    <row r="505" spans="1:8" ht="15" customHeight="1">
      <c r="A505" s="184">
        <f t="shared" si="14"/>
        <v>502</v>
      </c>
      <c r="B505" s="185">
        <v>3445</v>
      </c>
      <c r="C505" s="186" t="s">
        <v>4969</v>
      </c>
      <c r="D505" s="186" t="str">
        <f t="shared" si="15"/>
        <v>ŽUPANIJSKI SUD U PULI - POLA (3445)</v>
      </c>
      <c r="E505" s="186" t="s">
        <v>4970</v>
      </c>
      <c r="F505" s="186" t="s">
        <v>4971</v>
      </c>
      <c r="G505" s="187">
        <v>3204138</v>
      </c>
      <c r="H505" s="188" t="s">
        <v>4972</v>
      </c>
    </row>
    <row r="506" spans="1:8" ht="15" customHeight="1">
      <c r="A506" s="184">
        <f t="shared" si="14"/>
        <v>503</v>
      </c>
      <c r="B506" s="185">
        <v>3453</v>
      </c>
      <c r="C506" s="186" t="s">
        <v>4973</v>
      </c>
      <c r="D506" s="186" t="str">
        <f t="shared" si="15"/>
        <v>ŽUPANIJSKI SUD U RIJECI (3453)</v>
      </c>
      <c r="E506" s="186" t="s">
        <v>4974</v>
      </c>
      <c r="F506" s="186" t="s">
        <v>126</v>
      </c>
      <c r="G506" s="187">
        <v>3321401</v>
      </c>
      <c r="H506" s="188" t="s">
        <v>4975</v>
      </c>
    </row>
    <row r="507" spans="1:8" ht="15" customHeight="1">
      <c r="A507" s="184">
        <f t="shared" si="14"/>
        <v>504</v>
      </c>
      <c r="B507" s="185">
        <v>3461</v>
      </c>
      <c r="C507" s="186" t="s">
        <v>4976</v>
      </c>
      <c r="D507" s="186" t="str">
        <f t="shared" si="15"/>
        <v>ŽUPANIJSKI SUD U SISKU (3461)</v>
      </c>
      <c r="E507" s="186" t="s">
        <v>4977</v>
      </c>
      <c r="F507" s="186" t="s">
        <v>293</v>
      </c>
      <c r="G507" s="187">
        <v>3314731</v>
      </c>
      <c r="H507" s="188" t="s">
        <v>4978</v>
      </c>
    </row>
    <row r="508" spans="1:8" ht="15" customHeight="1">
      <c r="A508" s="184">
        <f t="shared" ref="A508:A571" si="16">+A507+1</f>
        <v>505</v>
      </c>
      <c r="B508" s="185">
        <v>20778</v>
      </c>
      <c r="C508" s="186" t="s">
        <v>4979</v>
      </c>
      <c r="D508" s="186" t="str">
        <f t="shared" si="15"/>
        <v>ŽUPANIJSKI SUD U SLAVONSKOM BRODU (20778)</v>
      </c>
      <c r="E508" s="186" t="s">
        <v>4980</v>
      </c>
      <c r="F508" s="186" t="s">
        <v>172</v>
      </c>
      <c r="G508" s="187">
        <v>1228226</v>
      </c>
      <c r="H508" s="188" t="s">
        <v>4981</v>
      </c>
    </row>
    <row r="509" spans="1:8" ht="15" customHeight="1">
      <c r="A509" s="184">
        <f t="shared" si="16"/>
        <v>506</v>
      </c>
      <c r="B509" s="185">
        <v>3470</v>
      </c>
      <c r="C509" s="186" t="s">
        <v>4982</v>
      </c>
      <c r="D509" s="186" t="str">
        <f t="shared" si="15"/>
        <v>ŽUPANIJSKI SUD U SPLITU (3470)</v>
      </c>
      <c r="E509" s="186" t="s">
        <v>4983</v>
      </c>
      <c r="F509" s="186" t="s">
        <v>176</v>
      </c>
      <c r="G509" s="187">
        <v>3118673</v>
      </c>
      <c r="H509" s="188" t="s">
        <v>4984</v>
      </c>
    </row>
    <row r="510" spans="1:8" ht="15" customHeight="1">
      <c r="A510" s="184">
        <f t="shared" si="16"/>
        <v>507</v>
      </c>
      <c r="B510" s="185">
        <v>20786</v>
      </c>
      <c r="C510" s="186" t="s">
        <v>4985</v>
      </c>
      <c r="D510" s="186" t="str">
        <f t="shared" si="15"/>
        <v>ŽUPANIJSKI SUD U ŠIBENIKU (20786)</v>
      </c>
      <c r="E510" s="186" t="s">
        <v>4986</v>
      </c>
      <c r="F510" s="186" t="s">
        <v>350</v>
      </c>
      <c r="G510" s="187">
        <v>3019799</v>
      </c>
      <c r="H510" s="188" t="s">
        <v>4987</v>
      </c>
    </row>
    <row r="511" spans="1:8" ht="15" customHeight="1">
      <c r="A511" s="184">
        <f t="shared" si="16"/>
        <v>508</v>
      </c>
      <c r="B511" s="185">
        <v>3488</v>
      </c>
      <c r="C511" s="186" t="s">
        <v>4988</v>
      </c>
      <c r="D511" s="186" t="str">
        <f t="shared" si="15"/>
        <v>ŽUPANIJSKI SUD U VARAŽDINU (3488)</v>
      </c>
      <c r="E511" s="186" t="s">
        <v>4602</v>
      </c>
      <c r="F511" s="186" t="s">
        <v>32</v>
      </c>
      <c r="G511" s="187">
        <v>3006719</v>
      </c>
      <c r="H511" s="188" t="s">
        <v>4989</v>
      </c>
    </row>
    <row r="512" spans="1:8" ht="15" customHeight="1">
      <c r="A512" s="184">
        <f t="shared" si="16"/>
        <v>509</v>
      </c>
      <c r="B512" s="185">
        <v>23421</v>
      </c>
      <c r="C512" s="186" t="s">
        <v>4990</v>
      </c>
      <c r="D512" s="186" t="str">
        <f t="shared" si="15"/>
        <v>ŽUPANIJSKI SUD U VELIKOJ GORICI (23421)</v>
      </c>
      <c r="E512" s="186" t="s">
        <v>4991</v>
      </c>
      <c r="F512" s="186" t="s">
        <v>3794</v>
      </c>
      <c r="G512" s="187">
        <v>1476351</v>
      </c>
      <c r="H512" s="188" t="s">
        <v>4992</v>
      </c>
    </row>
    <row r="513" spans="1:8" ht="15" customHeight="1">
      <c r="A513" s="184">
        <f t="shared" si="16"/>
        <v>510</v>
      </c>
      <c r="B513" s="185">
        <v>20809</v>
      </c>
      <c r="C513" s="186" t="s">
        <v>4993</v>
      </c>
      <c r="D513" s="186" t="str">
        <f t="shared" si="15"/>
        <v>ŽUPANIJSKI SUD U VUKOVARU (20809)</v>
      </c>
      <c r="E513" s="186" t="s">
        <v>4994</v>
      </c>
      <c r="F513" s="186" t="s">
        <v>331</v>
      </c>
      <c r="G513" s="187">
        <v>1210696</v>
      </c>
      <c r="H513" s="188" t="s">
        <v>4995</v>
      </c>
    </row>
    <row r="514" spans="1:8" ht="15" customHeight="1">
      <c r="A514" s="184">
        <f t="shared" si="16"/>
        <v>511</v>
      </c>
      <c r="B514" s="185">
        <v>3496</v>
      </c>
      <c r="C514" s="186" t="s">
        <v>4996</v>
      </c>
      <c r="D514" s="186" t="str">
        <f t="shared" si="15"/>
        <v>ŽUPANIJSKI SUD U ZADRU (3496)</v>
      </c>
      <c r="E514" s="186" t="s">
        <v>4997</v>
      </c>
      <c r="F514" s="186" t="s">
        <v>218</v>
      </c>
      <c r="G514" s="187">
        <v>3142434</v>
      </c>
      <c r="H514" s="188" t="s">
        <v>4998</v>
      </c>
    </row>
    <row r="515" spans="1:8" ht="15" customHeight="1">
      <c r="A515" s="184">
        <f t="shared" si="16"/>
        <v>512</v>
      </c>
      <c r="B515" s="185">
        <v>3507</v>
      </c>
      <c r="C515" s="186" t="s">
        <v>4999</v>
      </c>
      <c r="D515" s="186" t="str">
        <f t="shared" si="15"/>
        <v>ŽUPANIJSKI SUD U ZAGREBU (3507)</v>
      </c>
      <c r="E515" s="186" t="s">
        <v>4955</v>
      </c>
      <c r="F515" s="186" t="s">
        <v>25</v>
      </c>
      <c r="G515" s="187">
        <v>3206076</v>
      </c>
      <c r="H515" s="188" t="s">
        <v>5000</v>
      </c>
    </row>
    <row r="516" spans="1:8" ht="15" customHeight="1">
      <c r="A516" s="184">
        <f t="shared" si="16"/>
        <v>513</v>
      </c>
      <c r="B516" s="185">
        <v>3515</v>
      </c>
      <c r="C516" s="186" t="s">
        <v>5001</v>
      </c>
      <c r="D516" s="186" t="str">
        <f t="shared" ref="D516:D568" si="17">C516&amp;" ("&amp;B516&amp;")"</f>
        <v>TRGOVAČKI SUD U BJELOVARU (3515)</v>
      </c>
      <c r="E516" s="186" t="s">
        <v>5002</v>
      </c>
      <c r="F516" s="186" t="s">
        <v>3864</v>
      </c>
      <c r="G516" s="187">
        <v>3333299</v>
      </c>
      <c r="H516" s="188" t="s">
        <v>5003</v>
      </c>
    </row>
    <row r="517" spans="1:8" ht="15" customHeight="1">
      <c r="A517" s="184">
        <f t="shared" si="16"/>
        <v>514</v>
      </c>
      <c r="B517" s="185">
        <v>50598</v>
      </c>
      <c r="C517" s="186" t="s">
        <v>5004</v>
      </c>
      <c r="D517" s="186" t="str">
        <f t="shared" si="17"/>
        <v>TRGOVAČKI SUD U DUBROVNIKU (50598)</v>
      </c>
      <c r="E517" s="186" t="s">
        <v>5005</v>
      </c>
      <c r="F517" s="186" t="s">
        <v>120</v>
      </c>
      <c r="G517" s="189" t="s">
        <v>5006</v>
      </c>
      <c r="H517" s="188" t="s">
        <v>5007</v>
      </c>
    </row>
    <row r="518" spans="1:8" ht="15" customHeight="1">
      <c r="A518" s="184">
        <f t="shared" si="16"/>
        <v>515</v>
      </c>
      <c r="B518" s="185">
        <v>3531</v>
      </c>
      <c r="C518" s="186" t="s">
        <v>5008</v>
      </c>
      <c r="D518" s="186" t="str">
        <f t="shared" si="17"/>
        <v>TRGOVAČKI SUD U OSIJEKU (3531)</v>
      </c>
      <c r="E518" s="186" t="s">
        <v>5009</v>
      </c>
      <c r="F518" s="186" t="s">
        <v>45</v>
      </c>
      <c r="G518" s="187">
        <v>3014797</v>
      </c>
      <c r="H518" s="188" t="s">
        <v>5010</v>
      </c>
    </row>
    <row r="519" spans="1:8" ht="15" customHeight="1">
      <c r="A519" s="184">
        <f t="shared" si="16"/>
        <v>516</v>
      </c>
      <c r="B519" s="185">
        <v>48752</v>
      </c>
      <c r="C519" s="186" t="s">
        <v>5011</v>
      </c>
      <c r="D519" s="186" t="str">
        <f t="shared" si="17"/>
        <v>TRGOVAČKI SUD U PAZINU (48752)</v>
      </c>
      <c r="E519" s="186" t="s">
        <v>5012</v>
      </c>
      <c r="F519" s="186" t="s">
        <v>3880</v>
      </c>
      <c r="G519" s="187">
        <v>4344677</v>
      </c>
      <c r="H519" s="188" t="s">
        <v>5013</v>
      </c>
    </row>
    <row r="520" spans="1:8" ht="15" customHeight="1">
      <c r="A520" s="184">
        <f t="shared" si="16"/>
        <v>517</v>
      </c>
      <c r="B520" s="185">
        <v>3540</v>
      </c>
      <c r="C520" s="186" t="s">
        <v>5014</v>
      </c>
      <c r="D520" s="186" t="str">
        <f t="shared" si="17"/>
        <v>TRGOVAČKI SUD U RIJECI (3540)</v>
      </c>
      <c r="E520" s="186" t="s">
        <v>5015</v>
      </c>
      <c r="F520" s="186" t="s">
        <v>126</v>
      </c>
      <c r="G520" s="187">
        <v>3321410</v>
      </c>
      <c r="H520" s="188" t="s">
        <v>5016</v>
      </c>
    </row>
    <row r="521" spans="1:8" ht="15" customHeight="1">
      <c r="A521" s="184">
        <f t="shared" si="16"/>
        <v>518</v>
      </c>
      <c r="B521" s="185">
        <v>3566</v>
      </c>
      <c r="C521" s="186" t="s">
        <v>5017</v>
      </c>
      <c r="D521" s="186" t="str">
        <f t="shared" si="17"/>
        <v>TRGOVAČKI SUD U SPLITU (3566)</v>
      </c>
      <c r="E521" s="186" t="s">
        <v>5018</v>
      </c>
      <c r="F521" s="186" t="s">
        <v>176</v>
      </c>
      <c r="G521" s="187">
        <v>3119505</v>
      </c>
      <c r="H521" s="188" t="s">
        <v>5019</v>
      </c>
    </row>
    <row r="522" spans="1:8" ht="15" customHeight="1">
      <c r="A522" s="184">
        <f t="shared" si="16"/>
        <v>519</v>
      </c>
      <c r="B522" s="185">
        <v>3574</v>
      </c>
      <c r="C522" s="186" t="s">
        <v>5020</v>
      </c>
      <c r="D522" s="186" t="str">
        <f t="shared" si="17"/>
        <v>TRGOVAČKI SUD U VARAŽDINU (3574)</v>
      </c>
      <c r="E522" s="186" t="s">
        <v>4602</v>
      </c>
      <c r="F522" s="186" t="s">
        <v>5021</v>
      </c>
      <c r="G522" s="187">
        <v>3365042</v>
      </c>
      <c r="H522" s="188" t="s">
        <v>5022</v>
      </c>
    </row>
    <row r="523" spans="1:8" ht="15" customHeight="1">
      <c r="A523" s="184">
        <f t="shared" si="16"/>
        <v>520</v>
      </c>
      <c r="B523" s="185">
        <v>23405</v>
      </c>
      <c r="C523" s="186" t="s">
        <v>5023</v>
      </c>
      <c r="D523" s="186" t="str">
        <f t="shared" si="17"/>
        <v>TRGOVAČKI SUD U ZADRU (23405)</v>
      </c>
      <c r="E523" s="186" t="s">
        <v>5024</v>
      </c>
      <c r="F523" s="186" t="s">
        <v>218</v>
      </c>
      <c r="G523" s="187">
        <v>1476793</v>
      </c>
      <c r="H523" s="188" t="s">
        <v>5025</v>
      </c>
    </row>
    <row r="524" spans="1:8" ht="15" customHeight="1">
      <c r="A524" s="184">
        <f t="shared" si="16"/>
        <v>521</v>
      </c>
      <c r="B524" s="185">
        <v>20735</v>
      </c>
      <c r="C524" s="186" t="s">
        <v>5026</v>
      </c>
      <c r="D524" s="186" t="str">
        <f t="shared" si="17"/>
        <v>TRGOVAČKI SUD U ZAGREBU (20735)</v>
      </c>
      <c r="E524" s="186" t="s">
        <v>5027</v>
      </c>
      <c r="F524" s="186" t="s">
        <v>25</v>
      </c>
      <c r="G524" s="187">
        <v>3206092</v>
      </c>
      <c r="H524" s="188" t="s">
        <v>5028</v>
      </c>
    </row>
    <row r="525" spans="1:8" ht="15" customHeight="1">
      <c r="A525" s="184">
        <f t="shared" si="16"/>
        <v>522</v>
      </c>
      <c r="B525" s="185">
        <v>20647</v>
      </c>
      <c r="C525" s="186" t="s">
        <v>5029</v>
      </c>
      <c r="D525" s="186" t="str">
        <f t="shared" si="17"/>
        <v>ŽUPANIJSKO DRŽAVNO ODVJETNIŠTVO U BJELOVARU (20647)</v>
      </c>
      <c r="E525" s="186" t="s">
        <v>5030</v>
      </c>
      <c r="F525" s="186" t="s">
        <v>3864</v>
      </c>
      <c r="G525" s="187">
        <v>3308685</v>
      </c>
      <c r="H525" s="188" t="s">
        <v>5031</v>
      </c>
    </row>
    <row r="526" spans="1:8" ht="15" customHeight="1">
      <c r="A526" s="184">
        <f t="shared" si="16"/>
        <v>523</v>
      </c>
      <c r="B526" s="185">
        <v>3599</v>
      </c>
      <c r="C526" s="186" t="s">
        <v>5032</v>
      </c>
      <c r="D526" s="186" t="str">
        <f t="shared" si="17"/>
        <v>ŽUPANIJSKO DRŽAVNO ODVJETNIŠTVO U DUBROVNIKU (3599)</v>
      </c>
      <c r="E526" s="186" t="s">
        <v>5005</v>
      </c>
      <c r="F526" s="186" t="s">
        <v>120</v>
      </c>
      <c r="G526" s="187">
        <v>3304698</v>
      </c>
      <c r="H526" s="188" t="s">
        <v>5033</v>
      </c>
    </row>
    <row r="527" spans="1:8" ht="15" customHeight="1">
      <c r="A527" s="184">
        <f t="shared" si="16"/>
        <v>524</v>
      </c>
      <c r="B527" s="185">
        <v>3611</v>
      </c>
      <c r="C527" s="186" t="s">
        <v>5034</v>
      </c>
      <c r="D527" s="186" t="str">
        <f t="shared" si="17"/>
        <v>ŽUPANIJSKO DRŽAVNO ODVJETNIŠTVO U KARLOVCU (3611)</v>
      </c>
      <c r="E527" s="186" t="s">
        <v>4964</v>
      </c>
      <c r="F527" s="186" t="s">
        <v>343</v>
      </c>
      <c r="G527" s="187">
        <v>3123545</v>
      </c>
      <c r="H527" s="188" t="s">
        <v>5035</v>
      </c>
    </row>
    <row r="528" spans="1:8" ht="15" customHeight="1">
      <c r="A528" s="184">
        <f t="shared" si="16"/>
        <v>525</v>
      </c>
      <c r="B528" s="185">
        <v>3620</v>
      </c>
      <c r="C528" s="186" t="s">
        <v>5036</v>
      </c>
      <c r="D528" s="186" t="str">
        <f t="shared" si="17"/>
        <v>ŽUPANIJSKO DRŽAVNO ODVJETNIŠTVO U OSIJEKU (3620)</v>
      </c>
      <c r="E528" s="186" t="s">
        <v>5037</v>
      </c>
      <c r="F528" s="186" t="s">
        <v>45</v>
      </c>
      <c r="G528" s="187">
        <v>3014835</v>
      </c>
      <c r="H528" s="188" t="s">
        <v>5038</v>
      </c>
    </row>
    <row r="529" spans="1:8" ht="15" customHeight="1">
      <c r="A529" s="184">
        <f t="shared" si="16"/>
        <v>526</v>
      </c>
      <c r="B529" s="185">
        <v>3646</v>
      </c>
      <c r="C529" s="186" t="s">
        <v>5039</v>
      </c>
      <c r="D529" s="186" t="str">
        <f t="shared" si="17"/>
        <v>ŽUPANIJSKO DRŽAVNO ODVJETNIŠTVO U PULI - POLA (3646)</v>
      </c>
      <c r="E529" s="186" t="s">
        <v>5040</v>
      </c>
      <c r="F529" s="186" t="s">
        <v>110</v>
      </c>
      <c r="G529" s="187">
        <v>3204154</v>
      </c>
      <c r="H529" s="188" t="s">
        <v>5041</v>
      </c>
    </row>
    <row r="530" spans="1:8" ht="15" customHeight="1">
      <c r="A530" s="184">
        <f t="shared" si="16"/>
        <v>527</v>
      </c>
      <c r="B530" s="185">
        <v>3654</v>
      </c>
      <c r="C530" s="186" t="s">
        <v>5042</v>
      </c>
      <c r="D530" s="186" t="str">
        <f t="shared" si="17"/>
        <v>ŽUPANIJSKO DRŽAVNO ODVJETNIŠTVO U RIJECI (3654)</v>
      </c>
      <c r="E530" s="186" t="s">
        <v>5043</v>
      </c>
      <c r="F530" s="186" t="s">
        <v>126</v>
      </c>
      <c r="G530" s="187">
        <v>3332101</v>
      </c>
      <c r="H530" s="188" t="s">
        <v>5044</v>
      </c>
    </row>
    <row r="531" spans="1:8" ht="15" customHeight="1">
      <c r="A531" s="184">
        <f t="shared" si="16"/>
        <v>528</v>
      </c>
      <c r="B531" s="185">
        <v>3662</v>
      </c>
      <c r="C531" s="186" t="s">
        <v>5045</v>
      </c>
      <c r="D531" s="186" t="str">
        <f t="shared" si="17"/>
        <v>ŽUPANIJSKO DRŽAVNO ODVJETNIŠTVO U SISKU (3662)</v>
      </c>
      <c r="E531" s="186" t="s">
        <v>5046</v>
      </c>
      <c r="F531" s="186" t="s">
        <v>293</v>
      </c>
      <c r="G531" s="187">
        <v>3314758</v>
      </c>
      <c r="H531" s="188" t="s">
        <v>5047</v>
      </c>
    </row>
    <row r="532" spans="1:8" ht="15" customHeight="1">
      <c r="A532" s="184">
        <f t="shared" si="16"/>
        <v>529</v>
      </c>
      <c r="B532" s="185">
        <v>23456</v>
      </c>
      <c r="C532" s="186" t="s">
        <v>5048</v>
      </c>
      <c r="D532" s="186" t="str">
        <f t="shared" si="17"/>
        <v>ŽUPANIJSKO DRŽAVNO ODVJETNIŠTVO U SLAVONSKOM BRODU (23456)</v>
      </c>
      <c r="E532" s="186" t="s">
        <v>5049</v>
      </c>
      <c r="F532" s="186" t="s">
        <v>172</v>
      </c>
      <c r="G532" s="187">
        <v>1490141</v>
      </c>
      <c r="H532" s="188" t="s">
        <v>5050</v>
      </c>
    </row>
    <row r="533" spans="1:8" ht="15" customHeight="1">
      <c r="A533" s="184">
        <f t="shared" si="16"/>
        <v>530</v>
      </c>
      <c r="B533" s="185">
        <v>3679</v>
      </c>
      <c r="C533" s="186" t="s">
        <v>5051</v>
      </c>
      <c r="D533" s="186" t="str">
        <f t="shared" si="17"/>
        <v>ŽUPANIJSKO DRŽAVNO ODVJETNIŠTVO U SPLITU (3679)</v>
      </c>
      <c r="E533" s="186" t="s">
        <v>5052</v>
      </c>
      <c r="F533" s="186" t="s">
        <v>176</v>
      </c>
      <c r="G533" s="187">
        <v>3118681</v>
      </c>
      <c r="H533" s="188" t="s">
        <v>5053</v>
      </c>
    </row>
    <row r="534" spans="1:8" ht="15" customHeight="1">
      <c r="A534" s="184">
        <f t="shared" si="16"/>
        <v>531</v>
      </c>
      <c r="B534" s="185">
        <v>3687</v>
      </c>
      <c r="C534" s="186" t="s">
        <v>5054</v>
      </c>
      <c r="D534" s="186" t="str">
        <f t="shared" si="17"/>
        <v>ŽUPANIJSKO DRŽAVNO ODVJETNIŠTVO U ŠIBENIKU (3687)</v>
      </c>
      <c r="E534" s="186" t="s">
        <v>4986</v>
      </c>
      <c r="F534" s="186" t="s">
        <v>350</v>
      </c>
      <c r="G534" s="187">
        <v>3023508</v>
      </c>
      <c r="H534" s="188" t="s">
        <v>5055</v>
      </c>
    </row>
    <row r="535" spans="1:8" ht="15" customHeight="1">
      <c r="A535" s="184">
        <f t="shared" si="16"/>
        <v>532</v>
      </c>
      <c r="B535" s="185">
        <v>3695</v>
      </c>
      <c r="C535" s="186" t="s">
        <v>5056</v>
      </c>
      <c r="D535" s="186" t="str">
        <f t="shared" si="17"/>
        <v>ŽUPANIJSKO DRŽAVNO ODVJETNIŠTVO U VARAŽDINU (3695)</v>
      </c>
      <c r="E535" s="186" t="s">
        <v>4602</v>
      </c>
      <c r="F535" s="186" t="s">
        <v>32</v>
      </c>
      <c r="G535" s="187">
        <v>3006743</v>
      </c>
      <c r="H535" s="188" t="s">
        <v>5057</v>
      </c>
    </row>
    <row r="536" spans="1:8" ht="15" customHeight="1">
      <c r="A536" s="184">
        <f t="shared" si="16"/>
        <v>533</v>
      </c>
      <c r="B536" s="185">
        <v>23807</v>
      </c>
      <c r="C536" s="186" t="s">
        <v>5058</v>
      </c>
      <c r="D536" s="186" t="str">
        <f t="shared" si="17"/>
        <v>ŽUPANIJSKO DRŽAVNO ODVJETNIŠTVO U VELIKOJ GORICI (23807)</v>
      </c>
      <c r="E536" s="186" t="s">
        <v>5059</v>
      </c>
      <c r="F536" s="186" t="s">
        <v>3794</v>
      </c>
      <c r="G536" s="187">
        <v>1693646</v>
      </c>
      <c r="H536" s="188" t="s">
        <v>5060</v>
      </c>
    </row>
    <row r="537" spans="1:8" ht="15" customHeight="1">
      <c r="A537" s="184">
        <f t="shared" si="16"/>
        <v>534</v>
      </c>
      <c r="B537" s="185">
        <v>21949</v>
      </c>
      <c r="C537" s="186" t="s">
        <v>5061</v>
      </c>
      <c r="D537" s="186" t="str">
        <f t="shared" si="17"/>
        <v>ŽUPANIJSKO DRŽAVNO ODVJETNIŠTVO U VUKOVARU (21949)</v>
      </c>
      <c r="E537" s="186" t="s">
        <v>5062</v>
      </c>
      <c r="F537" s="186" t="s">
        <v>331</v>
      </c>
      <c r="G537" s="187">
        <v>1312278</v>
      </c>
      <c r="H537" s="188" t="s">
        <v>5063</v>
      </c>
    </row>
    <row r="538" spans="1:8" ht="15" customHeight="1">
      <c r="A538" s="184">
        <f t="shared" si="16"/>
        <v>535</v>
      </c>
      <c r="B538" s="185">
        <v>3700</v>
      </c>
      <c r="C538" s="186" t="s">
        <v>5064</v>
      </c>
      <c r="D538" s="186" t="str">
        <f t="shared" si="17"/>
        <v>ŽUPANIJSKO DRŽAVNO ODVJETNIŠTVO U ZADRU (3700)</v>
      </c>
      <c r="E538" s="186" t="s">
        <v>4997</v>
      </c>
      <c r="F538" s="186" t="s">
        <v>218</v>
      </c>
      <c r="G538" s="187">
        <v>3142469</v>
      </c>
      <c r="H538" s="188" t="s">
        <v>5065</v>
      </c>
    </row>
    <row r="539" spans="1:8" ht="15" customHeight="1">
      <c r="A539" s="184">
        <f t="shared" si="16"/>
        <v>536</v>
      </c>
      <c r="B539" s="185">
        <v>3718</v>
      </c>
      <c r="C539" s="186" t="s">
        <v>5066</v>
      </c>
      <c r="D539" s="186" t="str">
        <f t="shared" si="17"/>
        <v>ŽUPANIJSKO DRŽAVNO ODVJETNIŠTVO U ZAGREBU (3718)</v>
      </c>
      <c r="E539" s="186" t="s">
        <v>5067</v>
      </c>
      <c r="F539" s="186" t="s">
        <v>25</v>
      </c>
      <c r="G539" s="187">
        <v>3277143</v>
      </c>
      <c r="H539" s="188" t="s">
        <v>5068</v>
      </c>
    </row>
    <row r="540" spans="1:8" ht="15" customHeight="1">
      <c r="A540" s="184">
        <f t="shared" si="16"/>
        <v>537</v>
      </c>
      <c r="B540" s="185">
        <v>42910</v>
      </c>
      <c r="C540" s="186" t="s">
        <v>5069</v>
      </c>
      <c r="D540" s="186" t="str">
        <f t="shared" si="17"/>
        <v>OPĆINSKI GRAĐANSKI SUD U ZAGREBU (42910)</v>
      </c>
      <c r="E540" s="186" t="s">
        <v>5070</v>
      </c>
      <c r="F540" s="186" t="s">
        <v>25</v>
      </c>
      <c r="G540" s="187">
        <v>2279215</v>
      </c>
      <c r="H540" s="188" t="s">
        <v>5071</v>
      </c>
    </row>
    <row r="541" spans="1:8" ht="15" customHeight="1">
      <c r="A541" s="184">
        <f t="shared" si="16"/>
        <v>538</v>
      </c>
      <c r="B541" s="185">
        <v>42928</v>
      </c>
      <c r="C541" s="186" t="s">
        <v>5072</v>
      </c>
      <c r="D541" s="186" t="str">
        <f t="shared" si="17"/>
        <v>OPĆINSKI KAZNENI SUD U ZAGREBU (42928)</v>
      </c>
      <c r="E541" s="186" t="s">
        <v>5073</v>
      </c>
      <c r="F541" s="186" t="s">
        <v>25</v>
      </c>
      <c r="G541" s="187">
        <v>2279223</v>
      </c>
      <c r="H541" s="188" t="s">
        <v>5074</v>
      </c>
    </row>
    <row r="542" spans="1:8" ht="15" customHeight="1">
      <c r="A542" s="184">
        <f t="shared" si="16"/>
        <v>539</v>
      </c>
      <c r="B542" s="185">
        <v>20622</v>
      </c>
      <c r="C542" s="186" t="s">
        <v>5075</v>
      </c>
      <c r="D542" s="186" t="str">
        <f t="shared" si="17"/>
        <v>OPĆINSKI PREKRŠAJNI SUD U SPLITU (20622)</v>
      </c>
      <c r="E542" s="186" t="s">
        <v>5076</v>
      </c>
      <c r="F542" s="186" t="s">
        <v>176</v>
      </c>
      <c r="G542" s="187">
        <v>3133800</v>
      </c>
      <c r="H542" s="188" t="s">
        <v>5077</v>
      </c>
    </row>
    <row r="543" spans="1:8" ht="15" customHeight="1">
      <c r="A543" s="184">
        <f t="shared" si="16"/>
        <v>540</v>
      </c>
      <c r="B543" s="185">
        <v>20454</v>
      </c>
      <c r="C543" s="186" t="s">
        <v>5078</v>
      </c>
      <c r="D543" s="186" t="str">
        <f t="shared" si="17"/>
        <v>OPĆINSKI PREKRŠAJNI SUD U ZAGREBU (20454)</v>
      </c>
      <c r="E543" s="186" t="s">
        <v>5079</v>
      </c>
      <c r="F543" s="186" t="s">
        <v>25</v>
      </c>
      <c r="G543" s="187">
        <v>3206041</v>
      </c>
      <c r="H543" s="188" t="s">
        <v>5080</v>
      </c>
    </row>
    <row r="544" spans="1:8" s="178" customFormat="1" ht="15" customHeight="1">
      <c r="A544" s="184">
        <f t="shared" si="16"/>
        <v>541</v>
      </c>
      <c r="B544" s="185">
        <v>46841</v>
      </c>
      <c r="C544" s="186" t="s">
        <v>5081</v>
      </c>
      <c r="D544" s="186" t="str">
        <f t="shared" si="17"/>
        <v>OPĆINSKI RADNI SUD U ZAGREBU (46841)</v>
      </c>
      <c r="E544" s="186" t="s">
        <v>5070</v>
      </c>
      <c r="F544" s="186" t="s">
        <v>25</v>
      </c>
      <c r="G544" s="187">
        <v>2808285</v>
      </c>
      <c r="H544" s="188" t="s">
        <v>5082</v>
      </c>
    </row>
    <row r="545" spans="1:8" ht="15" customHeight="1">
      <c r="A545" s="184">
        <f t="shared" si="16"/>
        <v>542</v>
      </c>
      <c r="B545" s="185">
        <v>3742</v>
      </c>
      <c r="C545" s="186" t="s">
        <v>5083</v>
      </c>
      <c r="D545" s="186" t="str">
        <f t="shared" si="17"/>
        <v>OPĆINSKI SUD U BJELOVARU (3742)</v>
      </c>
      <c r="E545" s="186" t="s">
        <v>5084</v>
      </c>
      <c r="F545" s="186" t="s">
        <v>3864</v>
      </c>
      <c r="G545" s="187">
        <v>3317072</v>
      </c>
      <c r="H545" s="188" t="s">
        <v>5085</v>
      </c>
    </row>
    <row r="546" spans="1:8" ht="15" customHeight="1">
      <c r="A546" s="184">
        <f t="shared" si="16"/>
        <v>543</v>
      </c>
      <c r="B546" s="185">
        <v>50514</v>
      </c>
      <c r="C546" s="186" t="s">
        <v>5086</v>
      </c>
      <c r="D546" s="186" t="str">
        <f t="shared" si="17"/>
        <v>OPĆINSKI SUD U CRIKVENICI (50514)</v>
      </c>
      <c r="E546" s="186" t="s">
        <v>5087</v>
      </c>
      <c r="F546" s="186" t="s">
        <v>4291</v>
      </c>
      <c r="G546" s="189" t="s">
        <v>5088</v>
      </c>
      <c r="H546" s="188" t="s">
        <v>5089</v>
      </c>
    </row>
    <row r="547" spans="1:8" ht="15" customHeight="1">
      <c r="A547" s="184">
        <f t="shared" si="16"/>
        <v>544</v>
      </c>
      <c r="B547" s="185">
        <v>3783</v>
      </c>
      <c r="C547" s="186" t="s">
        <v>5090</v>
      </c>
      <c r="D547" s="186" t="str">
        <f t="shared" si="17"/>
        <v>OPĆINSKI SUD U ČAKOVCU (3783)</v>
      </c>
      <c r="E547" s="186" t="s">
        <v>5091</v>
      </c>
      <c r="F547" s="186" t="s">
        <v>40</v>
      </c>
      <c r="G547" s="187">
        <v>3110761</v>
      </c>
      <c r="H547" s="188" t="s">
        <v>5092</v>
      </c>
    </row>
    <row r="548" spans="1:8" ht="15" customHeight="1">
      <c r="A548" s="184">
        <f t="shared" si="16"/>
        <v>545</v>
      </c>
      <c r="B548" s="185">
        <v>3847</v>
      </c>
      <c r="C548" s="186" t="s">
        <v>5093</v>
      </c>
      <c r="D548" s="186" t="str">
        <f t="shared" si="17"/>
        <v>OPĆINSKI SUD U DUBROVNIKU (3847)</v>
      </c>
      <c r="E548" s="186" t="s">
        <v>5005</v>
      </c>
      <c r="F548" s="186" t="s">
        <v>120</v>
      </c>
      <c r="G548" s="187">
        <v>3304671</v>
      </c>
      <c r="H548" s="188" t="s">
        <v>5094</v>
      </c>
    </row>
    <row r="549" spans="1:8" ht="15" customHeight="1">
      <c r="A549" s="184">
        <f t="shared" si="16"/>
        <v>546</v>
      </c>
      <c r="B549" s="185">
        <v>50522</v>
      </c>
      <c r="C549" s="186" t="s">
        <v>5095</v>
      </c>
      <c r="D549" s="186" t="str">
        <f t="shared" si="17"/>
        <v>OPĆINSKI SUD U ĐAKOVU (50522)</v>
      </c>
      <c r="E549" s="186" t="s">
        <v>5096</v>
      </c>
      <c r="F549" s="186" t="s">
        <v>87</v>
      </c>
      <c r="G549" s="189" t="s">
        <v>5097</v>
      </c>
      <c r="H549" s="188" t="s">
        <v>5098</v>
      </c>
    </row>
    <row r="550" spans="1:8" ht="15" customHeight="1">
      <c r="A550" s="184">
        <f t="shared" si="16"/>
        <v>547</v>
      </c>
      <c r="B550" s="185">
        <v>3919</v>
      </c>
      <c r="C550" s="186" t="s">
        <v>5099</v>
      </c>
      <c r="D550" s="186" t="str">
        <f t="shared" si="17"/>
        <v>OPĆINSKI SUD U GOSPIĆU (3919)</v>
      </c>
      <c r="E550" s="186" t="s">
        <v>5100</v>
      </c>
      <c r="F550" s="186" t="s">
        <v>339</v>
      </c>
      <c r="G550" s="187">
        <v>3315886</v>
      </c>
      <c r="H550" s="188" t="s">
        <v>5101</v>
      </c>
    </row>
    <row r="551" spans="1:8" ht="15" customHeight="1">
      <c r="A551" s="184">
        <f t="shared" si="16"/>
        <v>548</v>
      </c>
      <c r="B551" s="185">
        <v>20892</v>
      </c>
      <c r="C551" s="186" t="s">
        <v>5102</v>
      </c>
      <c r="D551" s="186" t="str">
        <f t="shared" si="17"/>
        <v>OPĆINSKI SUD U KARLOVCU (20892)</v>
      </c>
      <c r="E551" s="186" t="s">
        <v>4964</v>
      </c>
      <c r="F551" s="186" t="s">
        <v>343</v>
      </c>
      <c r="G551" s="187">
        <v>3123499</v>
      </c>
      <c r="H551" s="188" t="s">
        <v>5103</v>
      </c>
    </row>
    <row r="552" spans="1:8" ht="15" customHeight="1">
      <c r="A552" s="184">
        <f t="shared" si="16"/>
        <v>549</v>
      </c>
      <c r="B552" s="185">
        <v>3994</v>
      </c>
      <c r="C552" s="186" t="s">
        <v>5104</v>
      </c>
      <c r="D552" s="186" t="str">
        <f t="shared" si="17"/>
        <v>OPĆINSKI SUD U KOPRIVNICI (3994)</v>
      </c>
      <c r="E552" s="186" t="s">
        <v>5105</v>
      </c>
      <c r="F552" s="186" t="s">
        <v>115</v>
      </c>
      <c r="G552" s="187">
        <v>3010805</v>
      </c>
      <c r="H552" s="188" t="s">
        <v>5106</v>
      </c>
    </row>
    <row r="553" spans="1:8" ht="15" customHeight="1">
      <c r="A553" s="184">
        <f t="shared" si="16"/>
        <v>550</v>
      </c>
      <c r="B553" s="185">
        <v>50539</v>
      </c>
      <c r="C553" s="186" t="s">
        <v>5107</v>
      </c>
      <c r="D553" s="186" t="str">
        <f t="shared" si="17"/>
        <v>OPĆINSKI SUD U KUTINI (50539)</v>
      </c>
      <c r="E553" s="186" t="s">
        <v>5108</v>
      </c>
      <c r="F553" s="186" t="s">
        <v>4492</v>
      </c>
      <c r="G553" s="189" t="s">
        <v>5109</v>
      </c>
      <c r="H553" s="188" t="s">
        <v>5110</v>
      </c>
    </row>
    <row r="554" spans="1:8" ht="15" customHeight="1">
      <c r="A554" s="184">
        <f t="shared" si="16"/>
        <v>551</v>
      </c>
      <c r="B554" s="185">
        <v>50547</v>
      </c>
      <c r="C554" s="186" t="s">
        <v>5111</v>
      </c>
      <c r="D554" s="186" t="str">
        <f t="shared" si="17"/>
        <v>OPĆINSKI SUD U MAKARSKOJ (50547)</v>
      </c>
      <c r="E554" s="186" t="s">
        <v>5112</v>
      </c>
      <c r="F554" s="186" t="s">
        <v>4147</v>
      </c>
      <c r="G554" s="189" t="s">
        <v>5113</v>
      </c>
      <c r="H554" s="188" t="s">
        <v>5114</v>
      </c>
    </row>
    <row r="555" spans="1:8" ht="15" customHeight="1">
      <c r="A555" s="184">
        <f t="shared" si="16"/>
        <v>552</v>
      </c>
      <c r="B555" s="185">
        <v>50555</v>
      </c>
      <c r="C555" s="186" t="s">
        <v>5115</v>
      </c>
      <c r="D555" s="186" t="str">
        <f t="shared" si="17"/>
        <v>OPĆINSKI SUD U METKOVIĆU (50555)</v>
      </c>
      <c r="E555" s="186" t="s">
        <v>5116</v>
      </c>
      <c r="F555" s="186" t="s">
        <v>4507</v>
      </c>
      <c r="G555" s="189" t="s">
        <v>5117</v>
      </c>
      <c r="H555" s="188" t="s">
        <v>5118</v>
      </c>
    </row>
    <row r="556" spans="1:8" ht="15" customHeight="1">
      <c r="A556" s="184">
        <f t="shared" si="16"/>
        <v>553</v>
      </c>
      <c r="B556" s="185">
        <v>48769</v>
      </c>
      <c r="C556" s="186" t="s">
        <v>5119</v>
      </c>
      <c r="D556" s="186" t="str">
        <f t="shared" si="17"/>
        <v>OPĆINSKI SUD U NOVOM ZAGREBU (48769)</v>
      </c>
      <c r="E556" s="186" t="s">
        <v>5120</v>
      </c>
      <c r="F556" s="186" t="s">
        <v>25</v>
      </c>
      <c r="G556" s="187">
        <v>4341872</v>
      </c>
      <c r="H556" s="188" t="s">
        <v>5121</v>
      </c>
    </row>
    <row r="557" spans="1:8" ht="15" customHeight="1">
      <c r="A557" s="184">
        <f t="shared" si="16"/>
        <v>554</v>
      </c>
      <c r="B557" s="185">
        <v>4132</v>
      </c>
      <c r="C557" s="186" t="s">
        <v>5122</v>
      </c>
      <c r="D557" s="186" t="str">
        <f t="shared" si="17"/>
        <v>OPĆINSKI SUD U OSIJEKU (4132)</v>
      </c>
      <c r="E557" s="186" t="s">
        <v>5123</v>
      </c>
      <c r="F557" s="186" t="s">
        <v>45</v>
      </c>
      <c r="G557" s="187">
        <v>3014789</v>
      </c>
      <c r="H557" s="188" t="s">
        <v>5124</v>
      </c>
    </row>
    <row r="558" spans="1:8" ht="15" customHeight="1">
      <c r="A558" s="184">
        <f t="shared" si="16"/>
        <v>555</v>
      </c>
      <c r="B558" s="185">
        <v>50563</v>
      </c>
      <c r="C558" s="186" t="s">
        <v>5125</v>
      </c>
      <c r="D558" s="186" t="str">
        <f t="shared" si="17"/>
        <v>OPĆINSKI SUD U PAZINU (50563)</v>
      </c>
      <c r="E558" s="186" t="s">
        <v>5126</v>
      </c>
      <c r="F558" s="186" t="s">
        <v>3880</v>
      </c>
      <c r="G558" s="189" t="s">
        <v>5127</v>
      </c>
      <c r="H558" s="188" t="s">
        <v>5128</v>
      </c>
    </row>
    <row r="559" spans="1:8" ht="15" customHeight="1">
      <c r="A559" s="184">
        <f t="shared" si="16"/>
        <v>556</v>
      </c>
      <c r="B559" s="185">
        <v>4212</v>
      </c>
      <c r="C559" s="186" t="s">
        <v>5129</v>
      </c>
      <c r="D559" s="186" t="str">
        <f t="shared" si="17"/>
        <v>OPĆINSKI SUD U POŽEGI (4212)</v>
      </c>
      <c r="E559" s="186" t="s">
        <v>5130</v>
      </c>
      <c r="F559" s="186" t="s">
        <v>4216</v>
      </c>
      <c r="G559" s="187">
        <v>3310302</v>
      </c>
      <c r="H559" s="188" t="s">
        <v>5131</v>
      </c>
    </row>
    <row r="560" spans="1:8" ht="15" customHeight="1">
      <c r="A560" s="184">
        <f t="shared" si="16"/>
        <v>557</v>
      </c>
      <c r="B560" s="185">
        <v>4237</v>
      </c>
      <c r="C560" s="186" t="s">
        <v>5132</v>
      </c>
      <c r="D560" s="186" t="str">
        <f t="shared" si="17"/>
        <v>OPĆINSKI SUD U PULI - POLA (4237)</v>
      </c>
      <c r="E560" s="186" t="s">
        <v>5133</v>
      </c>
      <c r="F560" s="186" t="s">
        <v>110</v>
      </c>
      <c r="G560" s="187">
        <v>3204120</v>
      </c>
      <c r="H560" s="188" t="s">
        <v>5134</v>
      </c>
    </row>
    <row r="561" spans="1:8" ht="15" customHeight="1">
      <c r="A561" s="184">
        <f t="shared" si="16"/>
        <v>558</v>
      </c>
      <c r="B561" s="185">
        <v>4253</v>
      </c>
      <c r="C561" s="186" t="s">
        <v>5135</v>
      </c>
      <c r="D561" s="186" t="str">
        <f t="shared" si="17"/>
        <v>OPĆINSKI SUD U RIJECI (4253)</v>
      </c>
      <c r="E561" s="186" t="s">
        <v>4974</v>
      </c>
      <c r="F561" s="186" t="s">
        <v>126</v>
      </c>
      <c r="G561" s="187">
        <v>3321428</v>
      </c>
      <c r="H561" s="188" t="s">
        <v>5136</v>
      </c>
    </row>
    <row r="562" spans="1:8" ht="15" customHeight="1">
      <c r="A562" s="184">
        <f t="shared" si="16"/>
        <v>559</v>
      </c>
      <c r="B562" s="185">
        <v>50571</v>
      </c>
      <c r="C562" s="186" t="s">
        <v>5137</v>
      </c>
      <c r="D562" s="186" t="str">
        <f t="shared" si="17"/>
        <v>OPĆINSKI SUD U SESVETAMA (50571)</v>
      </c>
      <c r="E562" s="186" t="s">
        <v>5138</v>
      </c>
      <c r="F562" s="186" t="s">
        <v>5139</v>
      </c>
      <c r="G562" s="189" t="s">
        <v>5140</v>
      </c>
      <c r="H562" s="188" t="s">
        <v>5141</v>
      </c>
    </row>
    <row r="563" spans="1:8" ht="15" customHeight="1">
      <c r="A563" s="184">
        <f t="shared" si="16"/>
        <v>560</v>
      </c>
      <c r="B563" s="185">
        <v>4307</v>
      </c>
      <c r="C563" s="186" t="s">
        <v>5142</v>
      </c>
      <c r="D563" s="186" t="str">
        <f t="shared" si="17"/>
        <v>OPĆINSKI SUD U SISKU (4307)</v>
      </c>
      <c r="E563" s="186" t="s">
        <v>4977</v>
      </c>
      <c r="F563" s="186" t="s">
        <v>293</v>
      </c>
      <c r="G563" s="187">
        <v>3314723</v>
      </c>
      <c r="H563" s="188" t="s">
        <v>5143</v>
      </c>
    </row>
    <row r="564" spans="1:8" ht="15" customHeight="1">
      <c r="A564" s="184">
        <f t="shared" si="16"/>
        <v>561</v>
      </c>
      <c r="B564" s="185">
        <v>4323</v>
      </c>
      <c r="C564" s="186" t="s">
        <v>5144</v>
      </c>
      <c r="D564" s="186" t="str">
        <f t="shared" si="17"/>
        <v>OPĆINSKI SUD U SLAVONSKOM BRODU (4323)</v>
      </c>
      <c r="E564" s="186" t="s">
        <v>5145</v>
      </c>
      <c r="F564" s="186" t="s">
        <v>172</v>
      </c>
      <c r="G564" s="187">
        <v>3071456</v>
      </c>
      <c r="H564" s="188" t="s">
        <v>5146</v>
      </c>
    </row>
    <row r="565" spans="1:8" ht="15" customHeight="1">
      <c r="A565" s="184">
        <f t="shared" si="16"/>
        <v>562</v>
      </c>
      <c r="B565" s="185">
        <v>21004</v>
      </c>
      <c r="C565" s="186" t="s">
        <v>5147</v>
      </c>
      <c r="D565" s="186" t="str">
        <f t="shared" si="17"/>
        <v>OPĆINSKI SUD U SPLITU (21004)</v>
      </c>
      <c r="E565" s="186" t="s">
        <v>5148</v>
      </c>
      <c r="F565" s="186" t="s">
        <v>176</v>
      </c>
      <c r="G565" s="187">
        <v>3118665</v>
      </c>
      <c r="H565" s="188" t="s">
        <v>5149</v>
      </c>
    </row>
    <row r="566" spans="1:8" ht="15" customHeight="1">
      <c r="A566" s="184">
        <f t="shared" si="16"/>
        <v>563</v>
      </c>
      <c r="B566" s="185">
        <v>4340</v>
      </c>
      <c r="C566" s="186" t="s">
        <v>5150</v>
      </c>
      <c r="D566" s="186" t="str">
        <f t="shared" si="17"/>
        <v>OPĆINSKI SUD U ŠIBENIKU (4340)</v>
      </c>
      <c r="E566" s="186" t="s">
        <v>4986</v>
      </c>
      <c r="F566" s="186" t="s">
        <v>350</v>
      </c>
      <c r="G566" s="187">
        <v>3019772</v>
      </c>
      <c r="H566" s="188" t="s">
        <v>5151</v>
      </c>
    </row>
    <row r="567" spans="1:8" ht="15" customHeight="1">
      <c r="A567" s="184">
        <f t="shared" si="16"/>
        <v>564</v>
      </c>
      <c r="B567" s="185">
        <v>4366</v>
      </c>
      <c r="C567" s="186" t="s">
        <v>5152</v>
      </c>
      <c r="D567" s="186" t="str">
        <f t="shared" si="17"/>
        <v>OPĆINSKI SUD U VARAŽDINU (4366)</v>
      </c>
      <c r="E567" s="186" t="s">
        <v>4602</v>
      </c>
      <c r="F567" s="186" t="s">
        <v>32</v>
      </c>
      <c r="G567" s="187">
        <v>3006697</v>
      </c>
      <c r="H567" s="188" t="s">
        <v>5153</v>
      </c>
    </row>
    <row r="568" spans="1:8" ht="15" customHeight="1">
      <c r="A568" s="184">
        <f t="shared" si="16"/>
        <v>565</v>
      </c>
      <c r="B568" s="185">
        <v>4374</v>
      </c>
      <c r="C568" s="186" t="s">
        <v>5154</v>
      </c>
      <c r="D568" s="186" t="str">
        <f t="shared" si="17"/>
        <v>OPĆINSKI SUD U VELIKOJ GORICI (4374)</v>
      </c>
      <c r="E568" s="186" t="s">
        <v>5155</v>
      </c>
      <c r="F568" s="186" t="s">
        <v>3794</v>
      </c>
      <c r="G568" s="187">
        <v>3216365</v>
      </c>
      <c r="H568" s="188" t="s">
        <v>5156</v>
      </c>
    </row>
    <row r="569" spans="1:8" ht="15" customHeight="1">
      <c r="A569" s="184">
        <f t="shared" si="16"/>
        <v>566</v>
      </c>
      <c r="B569" s="185">
        <v>50580</v>
      </c>
      <c r="C569" s="186" t="s">
        <v>5157</v>
      </c>
      <c r="D569" s="186" t="str">
        <f>C569&amp;" ("&amp;B569&amp;")"</f>
        <v>OPĆINSKI SUD U VINKOVCIMA (50580)</v>
      </c>
      <c r="E569" s="186" t="s">
        <v>5158</v>
      </c>
      <c r="F569" s="186" t="s">
        <v>4662</v>
      </c>
      <c r="G569" s="189" t="s">
        <v>5159</v>
      </c>
      <c r="H569" s="188" t="s">
        <v>5160</v>
      </c>
    </row>
    <row r="570" spans="1:8" ht="15" customHeight="1">
      <c r="A570" s="184">
        <f t="shared" si="16"/>
        <v>567</v>
      </c>
      <c r="B570" s="185">
        <v>4399</v>
      </c>
      <c r="C570" s="186" t="s">
        <v>5161</v>
      </c>
      <c r="D570" s="186" t="str">
        <f t="shared" ref="D570:D614" si="18">C570&amp;" ("&amp;B570&amp;")"</f>
        <v>OPĆINSKI SUD U VIROVITICI (4399)</v>
      </c>
      <c r="E570" s="186" t="s">
        <v>5162</v>
      </c>
      <c r="F570" s="186" t="s">
        <v>354</v>
      </c>
      <c r="G570" s="187">
        <v>3106071</v>
      </c>
      <c r="H570" s="188" t="s">
        <v>5163</v>
      </c>
    </row>
    <row r="571" spans="1:8" ht="15" customHeight="1">
      <c r="A571" s="184">
        <f t="shared" si="16"/>
        <v>568</v>
      </c>
      <c r="B571" s="185">
        <v>4420</v>
      </c>
      <c r="C571" s="186" t="s">
        <v>5164</v>
      </c>
      <c r="D571" s="186" t="str">
        <f t="shared" si="18"/>
        <v>OPĆINSKI SUD U VUKOVARU (4420)</v>
      </c>
      <c r="E571" s="186" t="s">
        <v>5165</v>
      </c>
      <c r="F571" s="186" t="s">
        <v>331</v>
      </c>
      <c r="G571" s="187">
        <v>3008886</v>
      </c>
      <c r="H571" s="188" t="s">
        <v>5166</v>
      </c>
    </row>
    <row r="572" spans="1:8" ht="15" customHeight="1">
      <c r="A572" s="184">
        <f t="shared" ref="A572:A614" si="19">+A571+1</f>
        <v>569</v>
      </c>
      <c r="B572" s="185">
        <v>4446</v>
      </c>
      <c r="C572" s="186" t="s">
        <v>5167</v>
      </c>
      <c r="D572" s="186" t="str">
        <f t="shared" si="18"/>
        <v>OPĆINSKI SUD U ZADRU (4446)</v>
      </c>
      <c r="E572" s="186" t="s">
        <v>4997</v>
      </c>
      <c r="F572" s="186" t="s">
        <v>218</v>
      </c>
      <c r="G572" s="187">
        <v>3142442</v>
      </c>
      <c r="H572" s="188" t="s">
        <v>5168</v>
      </c>
    </row>
    <row r="573" spans="1:8" ht="15" customHeight="1">
      <c r="A573" s="184">
        <f t="shared" si="19"/>
        <v>570</v>
      </c>
      <c r="B573" s="185">
        <v>4462</v>
      </c>
      <c r="C573" s="186" t="s">
        <v>5169</v>
      </c>
      <c r="D573" s="186" t="str">
        <f t="shared" si="18"/>
        <v>OPĆINSKI SUD U ZLATARU (4462)</v>
      </c>
      <c r="E573" s="186" t="s">
        <v>5170</v>
      </c>
      <c r="F573" s="186" t="s">
        <v>5171</v>
      </c>
      <c r="G573" s="187">
        <v>3100952</v>
      </c>
      <c r="H573" s="188" t="s">
        <v>5172</v>
      </c>
    </row>
    <row r="574" spans="1:8" ht="15" customHeight="1">
      <c r="A574" s="184">
        <f t="shared" si="19"/>
        <v>571</v>
      </c>
      <c r="B574" s="185">
        <v>4500</v>
      </c>
      <c r="C574" s="186" t="s">
        <v>5173</v>
      </c>
      <c r="D574" s="186" t="str">
        <f t="shared" si="18"/>
        <v>OPĆINSKO DRŽAVNO ODVJETNIŠTVO U BJELOVARU (4500)</v>
      </c>
      <c r="E574" s="186" t="s">
        <v>4958</v>
      </c>
      <c r="F574" s="186" t="s">
        <v>3864</v>
      </c>
      <c r="G574" s="187">
        <v>3308693</v>
      </c>
      <c r="H574" s="188" t="s">
        <v>5174</v>
      </c>
    </row>
    <row r="575" spans="1:8" ht="15" customHeight="1">
      <c r="A575" s="184">
        <f t="shared" si="19"/>
        <v>572</v>
      </c>
      <c r="B575" s="185">
        <v>4526</v>
      </c>
      <c r="C575" s="186" t="s">
        <v>5175</v>
      </c>
      <c r="D575" s="186" t="str">
        <f t="shared" si="18"/>
        <v>OPĆINSKO DRŽAVNO ODVJETNIŠTVO U ČAKOVCU (4526)</v>
      </c>
      <c r="E575" s="186" t="s">
        <v>5091</v>
      </c>
      <c r="F575" s="186" t="s">
        <v>40</v>
      </c>
      <c r="G575" s="187">
        <v>3110770</v>
      </c>
      <c r="H575" s="188" t="s">
        <v>5176</v>
      </c>
    </row>
    <row r="576" spans="1:8" ht="15" customHeight="1">
      <c r="A576" s="184">
        <f t="shared" si="19"/>
        <v>573</v>
      </c>
      <c r="B576" s="185">
        <v>4567</v>
      </c>
      <c r="C576" s="186" t="s">
        <v>5177</v>
      </c>
      <c r="D576" s="186" t="str">
        <f t="shared" si="18"/>
        <v>OPĆINSKO DRŽAVNO ODVJETNIŠTVO U DUBROVNIKU (4567)</v>
      </c>
      <c r="E576" s="186" t="s">
        <v>5005</v>
      </c>
      <c r="F576" s="186" t="s">
        <v>120</v>
      </c>
      <c r="G576" s="187">
        <v>3364968</v>
      </c>
      <c r="H576" s="188" t="s">
        <v>5178</v>
      </c>
    </row>
    <row r="577" spans="1:8" ht="15" customHeight="1">
      <c r="A577" s="184">
        <f t="shared" si="19"/>
        <v>574</v>
      </c>
      <c r="B577" s="185">
        <v>4606</v>
      </c>
      <c r="C577" s="186" t="s">
        <v>5179</v>
      </c>
      <c r="D577" s="186" t="str">
        <f t="shared" si="18"/>
        <v>OPĆINSKO DRŽAVNO ODVJETNIŠTVO U GOSPIĆU (4606)</v>
      </c>
      <c r="E577" s="186" t="s">
        <v>5100</v>
      </c>
      <c r="F577" s="186" t="s">
        <v>339</v>
      </c>
      <c r="G577" s="187">
        <v>3315908</v>
      </c>
      <c r="H577" s="188" t="s">
        <v>5180</v>
      </c>
    </row>
    <row r="578" spans="1:8" ht="15" customHeight="1">
      <c r="A578" s="184">
        <f t="shared" si="19"/>
        <v>575</v>
      </c>
      <c r="B578" s="185">
        <v>20270</v>
      </c>
      <c r="C578" s="186" t="s">
        <v>5181</v>
      </c>
      <c r="D578" s="186" t="str">
        <f t="shared" si="18"/>
        <v>OPĆINSKO DRŽAVNO ODVJETNIŠTVO U KARLOVCU (20270)</v>
      </c>
      <c r="E578" s="186" t="s">
        <v>4964</v>
      </c>
      <c r="F578" s="186" t="s">
        <v>343</v>
      </c>
      <c r="G578" s="187">
        <v>3123537</v>
      </c>
      <c r="H578" s="188" t="s">
        <v>5182</v>
      </c>
    </row>
    <row r="579" spans="1:8" ht="15" customHeight="1">
      <c r="A579" s="184">
        <f t="shared" si="19"/>
        <v>576</v>
      </c>
      <c r="B579" s="185">
        <v>4655</v>
      </c>
      <c r="C579" s="186" t="s">
        <v>5183</v>
      </c>
      <c r="D579" s="186" t="str">
        <f t="shared" si="18"/>
        <v>OPĆINSKO DRŽAVNO ODVJETNIŠTVO U KOPRIVNICI (4655)</v>
      </c>
      <c r="E579" s="186" t="s">
        <v>5184</v>
      </c>
      <c r="F579" s="186" t="s">
        <v>115</v>
      </c>
      <c r="G579" s="187">
        <v>3010813</v>
      </c>
      <c r="H579" s="188" t="s">
        <v>5185</v>
      </c>
    </row>
    <row r="580" spans="1:8" ht="15" customHeight="1">
      <c r="A580" s="184">
        <f t="shared" si="19"/>
        <v>577</v>
      </c>
      <c r="B580" s="185">
        <v>50483</v>
      </c>
      <c r="C580" s="186" t="s">
        <v>5186</v>
      </c>
      <c r="D580" s="186" t="str">
        <f t="shared" si="18"/>
        <v>OPĆINSKO DRŽAVNO ODVJETNIŠTVO U METKOVIĆU (50483)</v>
      </c>
      <c r="E580" s="186" t="s">
        <v>5116</v>
      </c>
      <c r="F580" s="186" t="s">
        <v>4507</v>
      </c>
      <c r="G580" s="189" t="s">
        <v>5187</v>
      </c>
      <c r="H580" s="188" t="s">
        <v>5188</v>
      </c>
    </row>
    <row r="581" spans="1:8" ht="15" customHeight="1">
      <c r="A581" s="184">
        <f t="shared" si="19"/>
        <v>578</v>
      </c>
      <c r="B581" s="185">
        <v>48785</v>
      </c>
      <c r="C581" s="186" t="s">
        <v>5189</v>
      </c>
      <c r="D581" s="186" t="str">
        <f t="shared" si="18"/>
        <v>OPĆINSKO DRŽAVNO ODVJETNIŠTVO U NOVOM ZAGREBU (48785)</v>
      </c>
      <c r="E581" s="186" t="s">
        <v>5120</v>
      </c>
      <c r="F581" s="186" t="s">
        <v>25</v>
      </c>
      <c r="G581" s="187">
        <v>4355784</v>
      </c>
      <c r="H581" s="188" t="s">
        <v>5190</v>
      </c>
    </row>
    <row r="582" spans="1:8" ht="15" customHeight="1">
      <c r="A582" s="184">
        <f t="shared" si="19"/>
        <v>579</v>
      </c>
      <c r="B582" s="185">
        <v>4760</v>
      </c>
      <c r="C582" s="186" t="s">
        <v>5191</v>
      </c>
      <c r="D582" s="186" t="str">
        <f t="shared" si="18"/>
        <v>OPĆINSKO DRŽAVNO ODVJETNIŠTVO U OSIJEKU (4760)</v>
      </c>
      <c r="E582" s="186" t="s">
        <v>5192</v>
      </c>
      <c r="F582" s="186" t="s">
        <v>45</v>
      </c>
      <c r="G582" s="187">
        <v>3014827</v>
      </c>
      <c r="H582" s="188" t="s">
        <v>5193</v>
      </c>
    </row>
    <row r="583" spans="1:8" ht="15" customHeight="1">
      <c r="A583" s="184">
        <f t="shared" si="19"/>
        <v>580</v>
      </c>
      <c r="B583" s="185">
        <v>50491</v>
      </c>
      <c r="C583" s="186" t="s">
        <v>5194</v>
      </c>
      <c r="D583" s="186" t="str">
        <f t="shared" si="18"/>
        <v>OPĆINSKO DRŽAVNO ODVJETNIŠTVO U PAZINU (50491)</v>
      </c>
      <c r="E583" s="186" t="s">
        <v>5195</v>
      </c>
      <c r="F583" s="186" t="s">
        <v>3880</v>
      </c>
      <c r="G583" s="189" t="s">
        <v>5196</v>
      </c>
      <c r="H583" s="206" t="s">
        <v>5197</v>
      </c>
    </row>
    <row r="584" spans="1:8" ht="15" customHeight="1">
      <c r="A584" s="184">
        <f t="shared" si="19"/>
        <v>581</v>
      </c>
      <c r="B584" s="185">
        <v>4809</v>
      </c>
      <c r="C584" s="186" t="s">
        <v>5198</v>
      </c>
      <c r="D584" s="186" t="str">
        <f t="shared" si="18"/>
        <v>OPĆINSKO DRŽAVNO ODVJETNIŠTVO U POŽEGI (4809)</v>
      </c>
      <c r="E584" s="186" t="s">
        <v>5130</v>
      </c>
      <c r="F584" s="186" t="s">
        <v>4216</v>
      </c>
      <c r="G584" s="187">
        <v>3310744</v>
      </c>
      <c r="H584" s="188" t="s">
        <v>5199</v>
      </c>
    </row>
    <row r="585" spans="1:8" ht="15" customHeight="1">
      <c r="A585" s="184">
        <f t="shared" si="19"/>
        <v>582</v>
      </c>
      <c r="B585" s="185">
        <v>4817</v>
      </c>
      <c r="C585" s="186" t="s">
        <v>5200</v>
      </c>
      <c r="D585" s="186" t="str">
        <f t="shared" si="18"/>
        <v>OPĆINSKO DRŽAVNO ODVJETNIŠTVO U PULI - POLA (4817)</v>
      </c>
      <c r="E585" s="186" t="s">
        <v>5040</v>
      </c>
      <c r="F585" s="186" t="s">
        <v>110</v>
      </c>
      <c r="G585" s="187">
        <v>3204146</v>
      </c>
      <c r="H585" s="188" t="s">
        <v>5201</v>
      </c>
    </row>
    <row r="586" spans="1:8" ht="15" customHeight="1">
      <c r="A586" s="184">
        <f t="shared" si="19"/>
        <v>583</v>
      </c>
      <c r="B586" s="185">
        <v>4825</v>
      </c>
      <c r="C586" s="186" t="s">
        <v>5202</v>
      </c>
      <c r="D586" s="186" t="str">
        <f t="shared" si="18"/>
        <v>OPĆINSKO DRŽAVNO ODVJETNIŠTVO U RIJECI (4825)</v>
      </c>
      <c r="E586" s="186" t="s">
        <v>5203</v>
      </c>
      <c r="F586" s="186" t="s">
        <v>126</v>
      </c>
      <c r="G586" s="187">
        <v>3321436</v>
      </c>
      <c r="H586" s="188" t="s">
        <v>5204</v>
      </c>
    </row>
    <row r="587" spans="1:8" ht="15" customHeight="1">
      <c r="A587" s="184">
        <f t="shared" si="19"/>
        <v>584</v>
      </c>
      <c r="B587" s="185">
        <v>4868</v>
      </c>
      <c r="C587" s="186" t="s">
        <v>5205</v>
      </c>
      <c r="D587" s="186" t="str">
        <f t="shared" si="18"/>
        <v>OPĆINSKO DRŽAVNO ODVJETNIŠTVO U SISKU (4868)</v>
      </c>
      <c r="E587" s="186" t="s">
        <v>5046</v>
      </c>
      <c r="F587" s="186" t="s">
        <v>293</v>
      </c>
      <c r="G587" s="187">
        <v>3314740</v>
      </c>
      <c r="H587" s="188" t="s">
        <v>5206</v>
      </c>
    </row>
    <row r="588" spans="1:8" ht="15" customHeight="1">
      <c r="A588" s="184">
        <f t="shared" si="19"/>
        <v>585</v>
      </c>
      <c r="B588" s="185">
        <v>4876</v>
      </c>
      <c r="C588" s="186" t="s">
        <v>5207</v>
      </c>
      <c r="D588" s="186" t="str">
        <f t="shared" si="18"/>
        <v>OPĆINSKO DRŽAVNO ODVJETNIŠTVO U SLAVONSKOM BRODU (4876)</v>
      </c>
      <c r="E588" s="186" t="s">
        <v>5208</v>
      </c>
      <c r="F588" s="186" t="s">
        <v>172</v>
      </c>
      <c r="G588" s="187">
        <v>3071472</v>
      </c>
      <c r="H588" s="188" t="s">
        <v>5209</v>
      </c>
    </row>
    <row r="589" spans="1:8" ht="15" customHeight="1">
      <c r="A589" s="184">
        <f t="shared" si="19"/>
        <v>586</v>
      </c>
      <c r="B589" s="185">
        <v>4884</v>
      </c>
      <c r="C589" s="186" t="s">
        <v>5210</v>
      </c>
      <c r="D589" s="186" t="str">
        <f t="shared" si="18"/>
        <v>OPĆINSKO DRŽAVNO ODVJETNIŠTVO U SPLITU (4884)</v>
      </c>
      <c r="E589" s="186" t="s">
        <v>5211</v>
      </c>
      <c r="F589" s="186" t="s">
        <v>176</v>
      </c>
      <c r="G589" s="187">
        <v>3161242</v>
      </c>
      <c r="H589" s="188" t="s">
        <v>5212</v>
      </c>
    </row>
    <row r="590" spans="1:8" ht="15" customHeight="1">
      <c r="A590" s="184">
        <f t="shared" si="19"/>
        <v>587</v>
      </c>
      <c r="B590" s="185">
        <v>4892</v>
      </c>
      <c r="C590" s="186" t="s">
        <v>5213</v>
      </c>
      <c r="D590" s="186" t="str">
        <f t="shared" si="18"/>
        <v>OPĆINSKO DRŽAVNO ODVJETNIŠTVO U ŠIBENIKU (4892)</v>
      </c>
      <c r="E590" s="186" t="s">
        <v>5214</v>
      </c>
      <c r="F590" s="186" t="s">
        <v>350</v>
      </c>
      <c r="G590" s="187">
        <v>3019829</v>
      </c>
      <c r="H590" s="188" t="s">
        <v>5215</v>
      </c>
    </row>
    <row r="591" spans="1:8" ht="15" customHeight="1">
      <c r="A591" s="184">
        <f t="shared" si="19"/>
        <v>588</v>
      </c>
      <c r="B591" s="185">
        <v>4913</v>
      </c>
      <c r="C591" s="186" t="s">
        <v>5216</v>
      </c>
      <c r="D591" s="186" t="str">
        <f t="shared" si="18"/>
        <v>OPĆINSKO DRŽAVNO ODVJETNIŠTVO U VARAŽDINU (4913)</v>
      </c>
      <c r="E591" s="186" t="s">
        <v>5217</v>
      </c>
      <c r="F591" s="186" t="s">
        <v>5021</v>
      </c>
      <c r="G591" s="187">
        <v>3006735</v>
      </c>
      <c r="H591" s="188" t="s">
        <v>5218</v>
      </c>
    </row>
    <row r="592" spans="1:8" ht="15" customHeight="1">
      <c r="A592" s="184">
        <f t="shared" si="19"/>
        <v>589</v>
      </c>
      <c r="B592" s="185">
        <v>4921</v>
      </c>
      <c r="C592" s="186" t="s">
        <v>5219</v>
      </c>
      <c r="D592" s="186" t="str">
        <f t="shared" si="18"/>
        <v>OPĆINSKO DRŽAVNO ODVJETNIŠTVO U VELIKOJ GORICI (4921)</v>
      </c>
      <c r="E592" s="186" t="s">
        <v>5155</v>
      </c>
      <c r="F592" s="186" t="s">
        <v>3794</v>
      </c>
      <c r="G592" s="187">
        <v>3216373</v>
      </c>
      <c r="H592" s="188" t="s">
        <v>5220</v>
      </c>
    </row>
    <row r="593" spans="1:8" ht="15" customHeight="1">
      <c r="A593" s="184">
        <f t="shared" si="19"/>
        <v>590</v>
      </c>
      <c r="B593" s="185">
        <v>50506</v>
      </c>
      <c r="C593" s="186" t="s">
        <v>5221</v>
      </c>
      <c r="D593" s="186" t="str">
        <f t="shared" si="18"/>
        <v>OPĆINSKO DRŽAVNO ODVJETNIŠTVO U VINKOVCIMA (50506)</v>
      </c>
      <c r="E593" s="186" t="s">
        <v>5096</v>
      </c>
      <c r="F593" s="186" t="s">
        <v>4662</v>
      </c>
      <c r="G593" s="189" t="s">
        <v>5222</v>
      </c>
      <c r="H593" s="188" t="s">
        <v>5223</v>
      </c>
    </row>
    <row r="594" spans="1:8" ht="15" customHeight="1">
      <c r="A594" s="184">
        <f t="shared" si="19"/>
        <v>591</v>
      </c>
      <c r="B594" s="185">
        <v>4948</v>
      </c>
      <c r="C594" s="186" t="s">
        <v>5224</v>
      </c>
      <c r="D594" s="186" t="str">
        <f t="shared" si="18"/>
        <v>OPĆINSKO DRŽAVNO ODVJETNIŠTVO U VIROVITICI (4948)</v>
      </c>
      <c r="E594" s="186" t="s">
        <v>5225</v>
      </c>
      <c r="F594" s="186" t="s">
        <v>354</v>
      </c>
      <c r="G594" s="187">
        <v>3149625</v>
      </c>
      <c r="H594" s="188" t="s">
        <v>5226</v>
      </c>
    </row>
    <row r="595" spans="1:8" ht="15" customHeight="1">
      <c r="A595" s="184">
        <f t="shared" si="19"/>
        <v>592</v>
      </c>
      <c r="B595" s="185">
        <v>4956</v>
      </c>
      <c r="C595" s="186" t="s">
        <v>5227</v>
      </c>
      <c r="D595" s="186" t="str">
        <f t="shared" si="18"/>
        <v>OPĆINSKO DRŽAVNO ODVJETNIŠTVO U VUKOVARU (4956)</v>
      </c>
      <c r="E595" s="186" t="s">
        <v>5062</v>
      </c>
      <c r="F595" s="186" t="s">
        <v>331</v>
      </c>
      <c r="G595" s="187">
        <v>3008894</v>
      </c>
      <c r="H595" s="188" t="s">
        <v>5228</v>
      </c>
    </row>
    <row r="596" spans="1:8" ht="15" customHeight="1">
      <c r="A596" s="184">
        <f t="shared" si="19"/>
        <v>593</v>
      </c>
      <c r="B596" s="185">
        <v>4972</v>
      </c>
      <c r="C596" s="186" t="s">
        <v>5229</v>
      </c>
      <c r="D596" s="186" t="str">
        <f t="shared" si="18"/>
        <v>OPĆINSKO DRŽAVNO ODVJETNIŠTVO U ZADRU (4972)</v>
      </c>
      <c r="E596" s="186" t="s">
        <v>5230</v>
      </c>
      <c r="F596" s="186" t="s">
        <v>218</v>
      </c>
      <c r="G596" s="187">
        <v>3174786</v>
      </c>
      <c r="H596" s="188" t="s">
        <v>5231</v>
      </c>
    </row>
    <row r="597" spans="1:8" ht="15" customHeight="1">
      <c r="A597" s="184">
        <f t="shared" si="19"/>
        <v>594</v>
      </c>
      <c r="B597" s="185">
        <v>4989</v>
      </c>
      <c r="C597" s="186" t="s">
        <v>5232</v>
      </c>
      <c r="D597" s="186" t="str">
        <f t="shared" si="18"/>
        <v>OPĆINSKO KAZNENO DRŽAVNO ODVJETNIŠTVO U ZAGREBU (4989)</v>
      </c>
      <c r="E597" s="186" t="s">
        <v>5233</v>
      </c>
      <c r="F597" s="186" t="s">
        <v>25</v>
      </c>
      <c r="G597" s="187">
        <v>3277135</v>
      </c>
      <c r="H597" s="188" t="s">
        <v>5234</v>
      </c>
    </row>
    <row r="598" spans="1:8" ht="15" customHeight="1">
      <c r="A598" s="184">
        <f t="shared" si="19"/>
        <v>595</v>
      </c>
      <c r="B598" s="185">
        <v>4997</v>
      </c>
      <c r="C598" s="186" t="s">
        <v>5235</v>
      </c>
      <c r="D598" s="186" t="str">
        <f t="shared" si="18"/>
        <v>OPĆINSKO DRŽAVNO ODVJETNIŠTVO U ZLATARU (4997)</v>
      </c>
      <c r="E598" s="186" t="s">
        <v>5170</v>
      </c>
      <c r="F598" s="186" t="s">
        <v>5171</v>
      </c>
      <c r="G598" s="187">
        <v>3433811</v>
      </c>
      <c r="H598" s="188" t="s">
        <v>5236</v>
      </c>
    </row>
    <row r="599" spans="1:8" ht="15" customHeight="1">
      <c r="A599" s="184">
        <f t="shared" si="19"/>
        <v>596</v>
      </c>
      <c r="B599" s="185">
        <v>52356</v>
      </c>
      <c r="C599" s="186" t="s">
        <v>5237</v>
      </c>
      <c r="D599" s="186" t="str">
        <f t="shared" si="18"/>
        <v>OPĆINSKO GRAĐANSKO DRŽAVNO ODVJETNIŠTVO U ZAGREBU (52356)</v>
      </c>
      <c r="E599" s="186" t="s">
        <v>5238</v>
      </c>
      <c r="F599" s="186" t="s">
        <v>25</v>
      </c>
      <c r="G599" s="187">
        <v>5545471</v>
      </c>
      <c r="H599" s="188" t="s">
        <v>5239</v>
      </c>
    </row>
    <row r="600" spans="1:8" ht="15" customHeight="1">
      <c r="A600" s="184">
        <f t="shared" si="19"/>
        <v>597</v>
      </c>
      <c r="B600" s="185">
        <v>23649</v>
      </c>
      <c r="C600" s="186" t="s">
        <v>5240</v>
      </c>
      <c r="D600" s="186" t="str">
        <f t="shared" si="18"/>
        <v>DRŽAVNO ODVJETNIŠTVO URED ZA SUZBIJANJE KORUPCIJE I ORGANIZIRANOG KRIMINALITETA  (23649)</v>
      </c>
      <c r="E600" s="186" t="s">
        <v>5241</v>
      </c>
      <c r="F600" s="186" t="s">
        <v>25</v>
      </c>
      <c r="G600" s="187">
        <v>1597965</v>
      </c>
      <c r="H600" s="188" t="s">
        <v>5242</v>
      </c>
    </row>
    <row r="601" spans="1:8" ht="15" customHeight="1">
      <c r="A601" s="184">
        <f t="shared" si="19"/>
        <v>598</v>
      </c>
      <c r="B601" s="185">
        <v>46420</v>
      </c>
      <c r="C601" s="208" t="s">
        <v>5243</v>
      </c>
      <c r="D601" s="186" t="str">
        <f t="shared" si="18"/>
        <v>DRŽAVNA ŠKOLA ZA JAVNU UPRAVU (46420)</v>
      </c>
      <c r="E601" s="186" t="s">
        <v>5244</v>
      </c>
      <c r="F601" s="186" t="s">
        <v>25</v>
      </c>
      <c r="G601" s="187">
        <v>2720736</v>
      </c>
      <c r="H601" s="188" t="s">
        <v>5245</v>
      </c>
    </row>
    <row r="602" spans="1:8" ht="15" customHeight="1">
      <c r="A602" s="173">
        <f t="shared" si="19"/>
        <v>599</v>
      </c>
      <c r="B602" s="180">
        <v>6040</v>
      </c>
      <c r="C602" s="181" t="s">
        <v>5246</v>
      </c>
      <c r="D602" s="186" t="str">
        <f t="shared" si="18"/>
        <v>URED PUČKOG PRAVOBRANITELJA (6040)</v>
      </c>
      <c r="E602" s="181" t="s">
        <v>5247</v>
      </c>
      <c r="F602" s="181" t="s">
        <v>25</v>
      </c>
      <c r="G602" s="182">
        <v>515655</v>
      </c>
      <c r="H602" s="183" t="s">
        <v>5248</v>
      </c>
    </row>
    <row r="603" spans="1:8" ht="15" customHeight="1">
      <c r="A603" s="173">
        <f t="shared" si="19"/>
        <v>600</v>
      </c>
      <c r="B603" s="180">
        <v>24027</v>
      </c>
      <c r="C603" s="181" t="s">
        <v>5249</v>
      </c>
      <c r="D603" s="186" t="str">
        <f t="shared" si="18"/>
        <v>PRAVOBRANITELJ ZA DJECU (24027)</v>
      </c>
      <c r="E603" s="181" t="s">
        <v>5250</v>
      </c>
      <c r="F603" s="181" t="s">
        <v>25</v>
      </c>
      <c r="G603" s="182">
        <v>1748068</v>
      </c>
      <c r="H603" s="183" t="s">
        <v>5251</v>
      </c>
    </row>
    <row r="604" spans="1:8" ht="15" customHeight="1">
      <c r="A604" s="173">
        <f t="shared" si="19"/>
        <v>601</v>
      </c>
      <c r="B604" s="180">
        <v>24060</v>
      </c>
      <c r="C604" s="181" t="s">
        <v>5252</v>
      </c>
      <c r="D604" s="186" t="str">
        <f t="shared" si="18"/>
        <v>PRAVOBRANITELJ/ICA ZA RAVNOPRAVNOST SPOLOVA (24060)</v>
      </c>
      <c r="E604" s="181" t="s">
        <v>5253</v>
      </c>
      <c r="F604" s="181" t="s">
        <v>25</v>
      </c>
      <c r="G604" s="182">
        <v>1768832</v>
      </c>
      <c r="H604" s="183" t="s">
        <v>5254</v>
      </c>
    </row>
    <row r="605" spans="1:8" ht="15" customHeight="1">
      <c r="A605" s="173">
        <f t="shared" si="19"/>
        <v>602</v>
      </c>
      <c r="B605" s="180">
        <v>43564</v>
      </c>
      <c r="C605" s="181" t="s">
        <v>5255</v>
      </c>
      <c r="D605" s="186" t="str">
        <f t="shared" si="18"/>
        <v>PRAVOBRANITELJICA ZA OSOBE S INVALIDITETOM (43564)</v>
      </c>
      <c r="E605" s="181" t="s">
        <v>5256</v>
      </c>
      <c r="F605" s="181" t="s">
        <v>25</v>
      </c>
      <c r="G605" s="182">
        <v>2397161</v>
      </c>
      <c r="H605" s="183" t="s">
        <v>5257</v>
      </c>
    </row>
    <row r="606" spans="1:8" ht="15" customHeight="1">
      <c r="A606" s="173">
        <f t="shared" si="19"/>
        <v>603</v>
      </c>
      <c r="B606" s="180">
        <v>6099</v>
      </c>
      <c r="C606" s="181" t="s">
        <v>5258</v>
      </c>
      <c r="D606" s="186" t="str">
        <f t="shared" si="18"/>
        <v>DRŽAVNI ZAVOD ZA STATISTIKU (6099)</v>
      </c>
      <c r="E606" s="181" t="s">
        <v>5259</v>
      </c>
      <c r="F606" s="181" t="s">
        <v>25</v>
      </c>
      <c r="G606" s="182">
        <v>3220338</v>
      </c>
      <c r="H606" s="183" t="s">
        <v>5260</v>
      </c>
    </row>
    <row r="607" spans="1:8" ht="15" customHeight="1">
      <c r="A607" s="173">
        <f t="shared" si="19"/>
        <v>604</v>
      </c>
      <c r="B607" s="180">
        <v>6138</v>
      </c>
      <c r="C607" s="181" t="s">
        <v>5261</v>
      </c>
      <c r="D607" s="186" t="str">
        <f t="shared" si="18"/>
        <v>DRŽAVNI URED ZA REVIZIJU (6138)</v>
      </c>
      <c r="E607" s="181" t="s">
        <v>5262</v>
      </c>
      <c r="F607" s="181" t="s">
        <v>25</v>
      </c>
      <c r="G607" s="182">
        <v>687979</v>
      </c>
      <c r="H607" s="183" t="s">
        <v>5263</v>
      </c>
    </row>
    <row r="608" spans="1:8" ht="15" customHeight="1">
      <c r="A608" s="173">
        <f t="shared" si="19"/>
        <v>605</v>
      </c>
      <c r="B608" s="180">
        <v>24094</v>
      </c>
      <c r="C608" s="181" t="s">
        <v>5264</v>
      </c>
      <c r="D608" s="186" t="str">
        <f t="shared" si="18"/>
        <v>DRŽAVNA KOMISIJA ZA KONTROLU POSTUPAKA JAVNE NABAVE (24094)</v>
      </c>
      <c r="E608" s="181" t="s">
        <v>5265</v>
      </c>
      <c r="F608" s="181" t="s">
        <v>25</v>
      </c>
      <c r="G608" s="182">
        <v>1777831</v>
      </c>
      <c r="H608" s="183" t="s">
        <v>5266</v>
      </c>
    </row>
    <row r="609" spans="1:8" ht="15" customHeight="1">
      <c r="A609" s="173">
        <f t="shared" si="19"/>
        <v>606</v>
      </c>
      <c r="B609" s="180">
        <v>50709</v>
      </c>
      <c r="C609" s="181" t="s">
        <v>5267</v>
      </c>
      <c r="D609" s="186" t="str">
        <f t="shared" si="18"/>
        <v>DRŽAVNI INSPEKTORAT (50709)</v>
      </c>
      <c r="E609" s="181" t="s">
        <v>5268</v>
      </c>
      <c r="F609" s="181" t="s">
        <v>25</v>
      </c>
      <c r="G609" s="182">
        <v>5068711</v>
      </c>
      <c r="H609" s="183" t="s">
        <v>5269</v>
      </c>
    </row>
    <row r="610" spans="1:8" ht="15" customHeight="1">
      <c r="A610" s="173">
        <f t="shared" si="19"/>
        <v>607</v>
      </c>
      <c r="B610" s="180">
        <v>23987</v>
      </c>
      <c r="C610" s="181" t="s">
        <v>5270</v>
      </c>
      <c r="D610" s="186" t="str">
        <f t="shared" si="18"/>
        <v>URED VIJEĆA ZA NACIONALNU SIGURNOST (23987)</v>
      </c>
      <c r="E610" s="181" t="s">
        <v>5271</v>
      </c>
      <c r="F610" s="181" t="s">
        <v>25</v>
      </c>
      <c r="G610" s="182">
        <v>1730100</v>
      </c>
      <c r="H610" s="183" t="s">
        <v>5272</v>
      </c>
    </row>
    <row r="611" spans="1:8" ht="15" customHeight="1">
      <c r="A611" s="173">
        <f t="shared" si="19"/>
        <v>608</v>
      </c>
      <c r="B611" s="180">
        <v>42750</v>
      </c>
      <c r="C611" s="181" t="s">
        <v>5273</v>
      </c>
      <c r="D611" s="186" t="str">
        <f t="shared" si="18"/>
        <v>OPERATIVNO-TEHNIČKI CENTAR ZA NADZOR TELEKOMUNIKACIJA (42750)</v>
      </c>
      <c r="E611" s="181" t="s">
        <v>5274</v>
      </c>
      <c r="F611" s="181" t="s">
        <v>25</v>
      </c>
      <c r="G611" s="182">
        <v>2255308</v>
      </c>
      <c r="H611" s="183" t="s">
        <v>5275</v>
      </c>
    </row>
    <row r="612" spans="1:8" ht="15" customHeight="1">
      <c r="A612" s="173">
        <f t="shared" si="19"/>
        <v>609</v>
      </c>
      <c r="B612" s="180">
        <v>42768</v>
      </c>
      <c r="C612" s="181" t="s">
        <v>5276</v>
      </c>
      <c r="D612" s="186" t="str">
        <f t="shared" si="18"/>
        <v>ZAVOD ZA SIGURNOST INFORMACIJSKIH SUSTAVA (42768)</v>
      </c>
      <c r="E612" s="181" t="s">
        <v>5277</v>
      </c>
      <c r="F612" s="181" t="s">
        <v>25</v>
      </c>
      <c r="G612" s="182">
        <v>2255294</v>
      </c>
      <c r="H612" s="183" t="s">
        <v>5278</v>
      </c>
    </row>
    <row r="613" spans="1:8" ht="15" customHeight="1">
      <c r="A613" s="173">
        <f t="shared" si="19"/>
        <v>610</v>
      </c>
      <c r="B613" s="180">
        <v>25860</v>
      </c>
      <c r="C613" s="181" t="s">
        <v>5279</v>
      </c>
      <c r="D613" s="186" t="str">
        <f t="shared" si="18"/>
        <v>AGENCIJA ZA ZAŠTITU OSOBNIH PODATAKA (25860)</v>
      </c>
      <c r="E613" s="181" t="s">
        <v>5280</v>
      </c>
      <c r="F613" s="181" t="s">
        <v>25</v>
      </c>
      <c r="G613" s="182">
        <v>1837907</v>
      </c>
      <c r="H613" s="183" t="s">
        <v>5281</v>
      </c>
    </row>
    <row r="614" spans="1:8" ht="15" customHeight="1" thickBot="1">
      <c r="A614" s="173">
        <f t="shared" si="19"/>
        <v>611</v>
      </c>
      <c r="B614" s="180">
        <v>48226</v>
      </c>
      <c r="C614" s="209" t="s">
        <v>5282</v>
      </c>
      <c r="D614" s="186" t="str">
        <f t="shared" si="18"/>
        <v>POVJERENIK ZA INFORMIRANJE (48226)</v>
      </c>
      <c r="E614" s="209" t="s">
        <v>5283</v>
      </c>
      <c r="F614" s="209" t="s">
        <v>25</v>
      </c>
      <c r="G614" s="210">
        <v>4126904</v>
      </c>
      <c r="H614" s="211">
        <v>68011638990</v>
      </c>
    </row>
    <row r="615" spans="1:8" ht="29.25" customHeight="1" thickTop="1">
      <c r="A615" s="278" t="s">
        <v>5284</v>
      </c>
      <c r="B615" s="278"/>
      <c r="C615" s="278"/>
      <c r="D615" s="278"/>
      <c r="E615" s="278"/>
      <c r="F615" s="278"/>
      <c r="G615" s="278"/>
      <c r="H615" s="278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1"/>
  <sheetViews>
    <sheetView showGridLines="0" zoomScale="90" zoomScaleNormal="90" workbookViewId="0">
      <pane ySplit="2" topLeftCell="D3" activePane="bottomLeft" state="frozen"/>
      <selection pane="bottomLeft" activeCell="I5" sqref="I5"/>
    </sheetView>
  </sheetViews>
  <sheetFormatPr defaultColWidth="9.140625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customWidth="1"/>
    <col min="13" max="13" width="11.42578125" customWidth="1"/>
    <col min="14" max="14" width="9.140625" customWidth="1"/>
    <col min="15" max="15" width="26.42578125" customWidth="1"/>
    <col min="16" max="17" width="9.140625" customWidth="1"/>
    <col min="18" max="18" width="12.28515625" customWidth="1"/>
    <col min="19" max="19" width="23.7109375" customWidth="1"/>
    <col min="20" max="20" width="9.140625" customWidth="1"/>
    <col min="21" max="21" width="14.28515625" customWidth="1"/>
    <col min="22" max="23" width="9.140625" customWidth="1"/>
  </cols>
  <sheetData>
    <row r="1" spans="1:23" ht="37.5" customHeight="1">
      <c r="A1" s="280" t="s">
        <v>475</v>
      </c>
      <c r="B1" s="280"/>
      <c r="C1" s="280"/>
      <c r="D1" s="280"/>
      <c r="E1" s="105" t="str">
        <f>IF(OR('OPĆI DIO'!C3="odaberite -",'OPĆI DIO'!C3=""),"Molimo odaberite proračunskog korisnika na radnom listu Opći podaci!","")</f>
        <v/>
      </c>
      <c r="I1" s="159" t="s">
        <v>58</v>
      </c>
    </row>
    <row r="2" spans="1:23" ht="36" customHeight="1">
      <c r="A2" s="21" t="s">
        <v>476</v>
      </c>
      <c r="B2" s="21" t="s">
        <v>477</v>
      </c>
      <c r="C2" s="21" t="s">
        <v>478</v>
      </c>
      <c r="D2" s="21" t="s">
        <v>479</v>
      </c>
      <c r="E2" s="66" t="s">
        <v>480</v>
      </c>
      <c r="F2" s="21" t="s">
        <v>481</v>
      </c>
      <c r="G2" s="253" t="s">
        <v>62</v>
      </c>
      <c r="H2" s="253" t="s">
        <v>63</v>
      </c>
      <c r="I2" s="253" t="s">
        <v>64</v>
      </c>
      <c r="J2" s="216" t="s">
        <v>482</v>
      </c>
      <c r="L2" s="63" t="s">
        <v>483</v>
      </c>
      <c r="M2" s="63" t="s">
        <v>484</v>
      </c>
      <c r="R2" s="18" t="s">
        <v>485</v>
      </c>
    </row>
    <row r="3" spans="1:23">
      <c r="A3" s="60" t="str">
        <f>IF(E3="","",VLOOKUP('OPĆI DIO'!$C$3,'OPĆI DIO'!$L$6:$U$138,10,FALSE))</f>
        <v>08006</v>
      </c>
      <c r="B3" s="60" t="str">
        <f>IF(E3="","",VLOOKUP('OPĆI DIO'!$C$3,'OPĆI DIO'!$L$6:$U$138,9,FALSE))</f>
        <v>Sveučilišta i veleučilišta u Republici Hrvatskoj</v>
      </c>
      <c r="C3" s="103">
        <f t="shared" ref="C3:C66" si="0">IFERROR(VLOOKUP(E3,$R$6:$U$113,3,FALSE),"")</f>
        <v>11</v>
      </c>
      <c r="D3" s="59" t="str">
        <f t="shared" ref="D3:D66" si="1">IFERROR(VLOOKUP(E3,$R$6:$U$113,4,FALSE),"")</f>
        <v>Opći prihodi i primici</v>
      </c>
      <c r="E3" s="68" t="s">
        <v>485</v>
      </c>
      <c r="F3" s="106" t="str">
        <f t="shared" ref="F3:F66" si="2">IFERROR(VLOOKUP(E3,$R$6:$U$113,2,FALSE),"")</f>
        <v>Prihodi iz nadležnog proračuna za financiranje redovne djelatnosti proračunskih korisnika</v>
      </c>
      <c r="G3" s="101">
        <f>1628413+5426+2312+2193+197622</f>
        <v>1835966</v>
      </c>
      <c r="H3" s="101">
        <v>4269463</v>
      </c>
      <c r="I3" s="101">
        <f>1881635+10925+16899+1649+226245</f>
        <v>2137353</v>
      </c>
      <c r="J3" s="68"/>
      <c r="L3" t="str">
        <f>LEFT(E3,2)</f>
        <v>67</v>
      </c>
      <c r="M3" t="str">
        <f>LEFT(E3,3)</f>
        <v>671</v>
      </c>
      <c r="N3" t="s">
        <v>486</v>
      </c>
      <c r="R3" s="18" t="s">
        <v>487</v>
      </c>
    </row>
    <row r="4" spans="1:23">
      <c r="A4" s="60" t="str">
        <f>IF(E4="","",VLOOKUP('OPĆI DIO'!$C$3,'OPĆI DIO'!$L$6:$U$138,10,FALSE))</f>
        <v>08006</v>
      </c>
      <c r="B4" s="60" t="str">
        <f>IF(E4="","",VLOOKUP('OPĆI DIO'!$C$3,'OPĆI DIO'!$L$6:$U$138,9,FALSE))</f>
        <v>Sveučilišta i veleučilišta u Republici Hrvatskoj</v>
      </c>
      <c r="C4" s="103">
        <v>31</v>
      </c>
      <c r="D4" s="59" t="str">
        <f t="shared" si="1"/>
        <v>Vlastiti prihodi</v>
      </c>
      <c r="E4" s="68">
        <v>6615</v>
      </c>
      <c r="F4" s="106" t="str">
        <f t="shared" si="2"/>
        <v>Prihodi od pruženih usluga</v>
      </c>
      <c r="G4" s="101">
        <f>5141+20091+54100+4229+5176+2005</f>
        <v>90742</v>
      </c>
      <c r="H4" s="101">
        <v>247739</v>
      </c>
      <c r="I4" s="101">
        <f>7163+30190+21571+47085+8432+13421+1331+2900-1280-164</f>
        <v>130649</v>
      </c>
      <c r="J4" s="68"/>
      <c r="L4" t="str">
        <f t="shared" ref="L4:L67" si="3">LEFT(E4,2)</f>
        <v>66</v>
      </c>
      <c r="M4" t="str">
        <f t="shared" ref="M4:M67" si="4">LEFT(E4,3)</f>
        <v>661</v>
      </c>
    </row>
    <row r="5" spans="1:23">
      <c r="A5" s="60" t="str">
        <f>IF(E5="","",VLOOKUP('OPĆI DIO'!$C$3,'OPĆI DIO'!$L$6:$U$138,10,FALSE))</f>
        <v>08006</v>
      </c>
      <c r="B5" s="60" t="str">
        <f>IF(E5="","",VLOOKUP('OPĆI DIO'!$C$3,'OPĆI DIO'!$L$6:$U$138,9,FALSE))</f>
        <v>Sveučilišta i veleučilišta u Republici Hrvatskoj</v>
      </c>
      <c r="C5" s="103">
        <v>43</v>
      </c>
      <c r="D5" s="59" t="s">
        <v>488</v>
      </c>
      <c r="E5" s="68">
        <v>65264</v>
      </c>
      <c r="F5" s="106" t="str">
        <f t="shared" si="2"/>
        <v>Sufinanciranje cijene usluge, participacije i slično</v>
      </c>
      <c r="G5" s="101">
        <f>6689+426572+1035+66786+107+3053+2</f>
        <v>504244</v>
      </c>
      <c r="H5" s="101">
        <v>1475571</v>
      </c>
      <c r="I5" s="101">
        <f>311+455962+1034+67508+32-2-780</f>
        <v>524065</v>
      </c>
      <c r="J5" s="68"/>
      <c r="L5" t="str">
        <f t="shared" si="3"/>
        <v>65</v>
      </c>
      <c r="M5" t="str">
        <f t="shared" si="4"/>
        <v>652</v>
      </c>
      <c r="N5" t="s">
        <v>478</v>
      </c>
      <c r="O5" t="s">
        <v>479</v>
      </c>
      <c r="R5" s="22" t="s">
        <v>489</v>
      </c>
      <c r="S5" s="21" t="s">
        <v>490</v>
      </c>
      <c r="T5" s="21" t="s">
        <v>491</v>
      </c>
      <c r="U5" s="21" t="s">
        <v>479</v>
      </c>
      <c r="V5" s="67" t="s">
        <v>492</v>
      </c>
      <c r="W5" s="67" t="s">
        <v>493</v>
      </c>
    </row>
    <row r="6" spans="1:23">
      <c r="A6" s="60" t="str">
        <f>IF(E6="","",VLOOKUP('OPĆI DIO'!$C$3,'OPĆI DIO'!$L$6:$U$138,10,FALSE))</f>
        <v>08006</v>
      </c>
      <c r="B6" s="60" t="str">
        <f>IF(E6="","",VLOOKUP('OPĆI DIO'!$C$3,'OPĆI DIO'!$L$6:$U$138,9,FALSE))</f>
        <v>Sveučilišta i veleučilišta u Republici Hrvatskoj</v>
      </c>
      <c r="C6" s="103">
        <v>51</v>
      </c>
      <c r="D6" s="59" t="s">
        <v>494</v>
      </c>
      <c r="E6" s="68">
        <v>632311700</v>
      </c>
      <c r="F6" s="106" t="str">
        <f t="shared" si="2"/>
        <v>Tekuće pomoći od institucija i tijela EU - ostalo</v>
      </c>
      <c r="G6" s="101">
        <f>65+9935</f>
        <v>10000</v>
      </c>
      <c r="H6" s="101">
        <v>252399</v>
      </c>
      <c r="I6" s="101">
        <v>124568</v>
      </c>
      <c r="J6" s="68"/>
      <c r="L6" t="str">
        <f t="shared" si="3"/>
        <v>63</v>
      </c>
      <c r="M6" t="str">
        <f t="shared" si="4"/>
        <v>632</v>
      </c>
      <c r="N6">
        <v>11</v>
      </c>
      <c r="O6" t="s">
        <v>495</v>
      </c>
      <c r="R6" s="4" t="s">
        <v>485</v>
      </c>
      <c r="S6" s="4" t="s">
        <v>496</v>
      </c>
      <c r="T6" s="4">
        <v>11</v>
      </c>
      <c r="U6" s="4" t="s">
        <v>495</v>
      </c>
      <c r="V6">
        <v>671</v>
      </c>
      <c r="W6">
        <v>67</v>
      </c>
    </row>
    <row r="7" spans="1:23">
      <c r="A7" s="60" t="str">
        <f>IF(E7="","",VLOOKUP('OPĆI DIO'!$C$3,'OPĆI DIO'!$L$6:$U$138,10,FALSE))</f>
        <v>08006</v>
      </c>
      <c r="B7" s="60" t="str">
        <f>IF(E7="","",VLOOKUP('OPĆI DIO'!$C$3,'OPĆI DIO'!$L$6:$U$138,9,FALSE))</f>
        <v>Sveučilišta i veleučilišta u Republici Hrvatskoj</v>
      </c>
      <c r="C7" s="103">
        <v>52</v>
      </c>
      <c r="D7" s="59" t="s">
        <v>497</v>
      </c>
      <c r="E7" s="68">
        <v>6391</v>
      </c>
      <c r="F7" s="106" t="str">
        <f t="shared" si="2"/>
        <v>Tekući prijenosi između proračunskih korisnika istog proračuna</v>
      </c>
      <c r="G7" s="101">
        <v>28291</v>
      </c>
      <c r="H7" s="101">
        <v>80663</v>
      </c>
      <c r="I7" s="101">
        <v>31041</v>
      </c>
      <c r="J7" s="68" t="s">
        <v>498</v>
      </c>
      <c r="L7" t="str">
        <f t="shared" si="3"/>
        <v>63</v>
      </c>
      <c r="M7" t="str">
        <f t="shared" si="4"/>
        <v>639</v>
      </c>
      <c r="N7">
        <v>12</v>
      </c>
      <c r="O7" t="s">
        <v>499</v>
      </c>
      <c r="R7" s="4" t="s">
        <v>487</v>
      </c>
      <c r="S7" s="4" t="s">
        <v>496</v>
      </c>
      <c r="T7" s="4">
        <v>12</v>
      </c>
      <c r="U7" s="4" t="s">
        <v>499</v>
      </c>
      <c r="V7">
        <v>671</v>
      </c>
      <c r="W7">
        <v>67</v>
      </c>
    </row>
    <row r="8" spans="1:23">
      <c r="A8" s="60" t="str">
        <f>IF(E8="","",VLOOKUP('OPĆI DIO'!$C$3,'OPĆI DIO'!$L$6:$U$138,10,FALSE))</f>
        <v>08006</v>
      </c>
      <c r="B8" s="60" t="str">
        <f>IF(E8="","",VLOOKUP('OPĆI DIO'!$C$3,'OPĆI DIO'!$L$6:$U$138,9,FALSE))</f>
        <v>Sveučilišta i veleučilišta u Republici Hrvatskoj</v>
      </c>
      <c r="C8" s="103">
        <f t="shared" si="0"/>
        <v>52</v>
      </c>
      <c r="D8" s="59" t="str">
        <f t="shared" si="1"/>
        <v xml:space="preserve">Ostale pomoći i darovnice </v>
      </c>
      <c r="E8" s="68">
        <v>6361</v>
      </c>
      <c r="F8" s="106" t="str">
        <f t="shared" si="2"/>
        <v>Tekuće pomoći proračunskim korisnicima iz proračuna JLP(R)S koji im nije nadležan</v>
      </c>
      <c r="G8" s="101"/>
      <c r="H8" s="101">
        <v>1754478</v>
      </c>
      <c r="I8" s="101"/>
      <c r="J8" s="68"/>
      <c r="L8" t="str">
        <f t="shared" si="3"/>
        <v>63</v>
      </c>
      <c r="M8" t="str">
        <f t="shared" si="4"/>
        <v>636</v>
      </c>
      <c r="N8">
        <v>31</v>
      </c>
      <c r="O8" t="s">
        <v>500</v>
      </c>
      <c r="R8" s="4">
        <v>614810041</v>
      </c>
      <c r="S8" s="4" t="s">
        <v>501</v>
      </c>
      <c r="T8" s="4">
        <v>41</v>
      </c>
      <c r="U8" s="4" t="s">
        <v>502</v>
      </c>
      <c r="V8">
        <v>614</v>
      </c>
      <c r="W8">
        <v>61</v>
      </c>
    </row>
    <row r="9" spans="1:23">
      <c r="A9" s="60" t="str">
        <f>IF(E9="","",VLOOKUP('OPĆI DIO'!$C$3,'OPĆI DIO'!$L$6:$U$138,10,FALSE))</f>
        <v>08006</v>
      </c>
      <c r="B9" s="60" t="str">
        <f>IF(E9="","",VLOOKUP('OPĆI DIO'!$C$3,'OPĆI DIO'!$L$6:$U$138,9,FALSE))</f>
        <v>Sveučilišta i veleučilišta u Republici Hrvatskoj</v>
      </c>
      <c r="C9" s="103">
        <f t="shared" si="0"/>
        <v>61</v>
      </c>
      <c r="D9" s="59" t="str">
        <f t="shared" si="1"/>
        <v xml:space="preserve">Donacije </v>
      </c>
      <c r="E9" s="68">
        <v>663130000</v>
      </c>
      <c r="F9" s="106" t="str">
        <f t="shared" si="2"/>
        <v>Tekuće donacije od trgovačkih društava</v>
      </c>
      <c r="G9" s="101">
        <f>1991+1906</f>
        <v>3897</v>
      </c>
      <c r="H9" s="101">
        <v>399608</v>
      </c>
      <c r="I9" s="101">
        <f>2500+5258</f>
        <v>7758</v>
      </c>
      <c r="J9" s="68"/>
      <c r="L9" t="str">
        <f t="shared" si="3"/>
        <v>66</v>
      </c>
      <c r="M9" t="str">
        <f t="shared" si="4"/>
        <v>663</v>
      </c>
      <c r="N9">
        <v>41</v>
      </c>
      <c r="O9" t="s">
        <v>502</v>
      </c>
      <c r="R9" s="4">
        <v>614820041</v>
      </c>
      <c r="S9" s="4" t="s">
        <v>503</v>
      </c>
      <c r="T9" s="4">
        <v>41</v>
      </c>
      <c r="U9" s="4" t="s">
        <v>502</v>
      </c>
      <c r="V9">
        <v>614</v>
      </c>
      <c r="W9">
        <v>61</v>
      </c>
    </row>
    <row r="10" spans="1:23">
      <c r="A10" s="60" t="str">
        <f>IF(E10="","",VLOOKUP('OPĆI DIO'!$C$3,'OPĆI DIO'!$L$6:$U$138,10,FALSE))</f>
        <v>08006</v>
      </c>
      <c r="B10" s="60" t="str">
        <f>IF(E10="","",VLOOKUP('OPĆI DIO'!$C$3,'OPĆI DIO'!$L$6:$U$138,9,FALSE))</f>
        <v>Sveučilišta i veleučilišta u Republici Hrvatskoj</v>
      </c>
      <c r="C10" s="103">
        <v>71</v>
      </c>
      <c r="D10" s="59" t="s">
        <v>504</v>
      </c>
      <c r="E10" s="68">
        <v>721110071</v>
      </c>
      <c r="F10" s="106" t="str">
        <f t="shared" si="2"/>
        <v>Stambeni objekti za zaposlene izvor 71</v>
      </c>
      <c r="G10" s="101"/>
      <c r="H10" s="101">
        <v>1327</v>
      </c>
      <c r="I10" s="101"/>
      <c r="J10" s="68"/>
      <c r="L10" t="str">
        <f t="shared" si="3"/>
        <v>72</v>
      </c>
      <c r="M10" t="str">
        <f t="shared" si="4"/>
        <v>721</v>
      </c>
      <c r="N10">
        <v>43</v>
      </c>
      <c r="O10" t="s">
        <v>505</v>
      </c>
      <c r="R10" s="4">
        <v>614830041</v>
      </c>
      <c r="S10" s="4" t="s">
        <v>506</v>
      </c>
      <c r="T10" s="4">
        <v>41</v>
      </c>
      <c r="U10" s="4" t="s">
        <v>502</v>
      </c>
      <c r="V10">
        <v>614</v>
      </c>
      <c r="W10">
        <v>61</v>
      </c>
    </row>
    <row r="11" spans="1:23">
      <c r="A11" s="60" t="str">
        <f>IF(E11="","",VLOOKUP('OPĆI DIO'!$C$3,'OPĆI DIO'!$L$6:$U$138,10,FALSE))</f>
        <v>08006</v>
      </c>
      <c r="B11" s="60" t="str">
        <f>IF(E11="","",VLOOKUP('OPĆI DIO'!$C$3,'OPĆI DIO'!$L$6:$U$138,9,FALSE))</f>
        <v>Sveučilišta i veleučilišta u Republici Hrvatskoj</v>
      </c>
      <c r="C11" s="103">
        <f t="shared" si="0"/>
        <v>52</v>
      </c>
      <c r="D11" s="59" t="str">
        <f t="shared" si="1"/>
        <v xml:space="preserve">Ostale pomoći i darovnice </v>
      </c>
      <c r="E11" s="68">
        <v>6393</v>
      </c>
      <c r="F11" s="106" t="str">
        <f t="shared" si="2"/>
        <v>Tekući prijenosi između proračunskih korisnika istog proračuna temeljem prijenosa EU sredstava</v>
      </c>
      <c r="G11" s="101">
        <v>1463</v>
      </c>
      <c r="H11" s="101"/>
      <c r="I11" s="101">
        <v>14280</v>
      </c>
      <c r="J11" s="68" t="s">
        <v>507</v>
      </c>
      <c r="L11" t="str">
        <f t="shared" si="3"/>
        <v>63</v>
      </c>
      <c r="M11" t="str">
        <f t="shared" si="4"/>
        <v>639</v>
      </c>
      <c r="N11">
        <v>51</v>
      </c>
      <c r="O11" t="s">
        <v>494</v>
      </c>
      <c r="R11" s="4">
        <v>614840041</v>
      </c>
      <c r="S11" s="4" t="s">
        <v>508</v>
      </c>
      <c r="T11" s="4">
        <v>41</v>
      </c>
      <c r="U11" s="4" t="s">
        <v>502</v>
      </c>
      <c r="V11">
        <v>614</v>
      </c>
      <c r="W11">
        <v>61</v>
      </c>
    </row>
    <row r="12" spans="1:23">
      <c r="A12" s="60" t="str">
        <f>IF(E12="","",VLOOKUP('OPĆI DIO'!$C$3,'OPĆI DIO'!$L$6:$U$138,10,FALSE))</f>
        <v>08006</v>
      </c>
      <c r="B12" s="60" t="str">
        <f>IF(E12="","",VLOOKUP('OPĆI DIO'!$C$3,'OPĆI DIO'!$L$6:$U$138,9,FALSE))</f>
        <v>Sveučilišta i veleučilišta u Republici Hrvatskoj</v>
      </c>
      <c r="C12" s="103">
        <f t="shared" si="0"/>
        <v>43</v>
      </c>
      <c r="D12" s="59" t="str">
        <f t="shared" si="1"/>
        <v>Ostali prihodi za posebne namjene</v>
      </c>
      <c r="E12" s="68">
        <v>641320043</v>
      </c>
      <c r="F12" s="106" t="str">
        <f t="shared" si="2"/>
        <v>Kamate na depozite po viđenju izvor 43</v>
      </c>
      <c r="G12" s="101">
        <f>5+7</f>
        <v>12</v>
      </c>
      <c r="H12" s="101"/>
      <c r="I12" s="101">
        <v>13</v>
      </c>
      <c r="J12" s="68"/>
      <c r="L12" t="str">
        <f t="shared" si="3"/>
        <v>64</v>
      </c>
      <c r="M12" t="str">
        <f t="shared" si="4"/>
        <v>641</v>
      </c>
      <c r="N12">
        <v>52</v>
      </c>
      <c r="O12" t="s">
        <v>497</v>
      </c>
      <c r="R12" s="4">
        <v>631110000</v>
      </c>
      <c r="S12" s="4" t="s">
        <v>509</v>
      </c>
      <c r="T12" s="4">
        <v>52</v>
      </c>
      <c r="U12" s="4" t="s">
        <v>510</v>
      </c>
      <c r="V12">
        <v>631</v>
      </c>
      <c r="W12">
        <v>63</v>
      </c>
    </row>
    <row r="13" spans="1:23">
      <c r="A13" s="60" t="str">
        <f>IF(E13="","",VLOOKUP('OPĆI DIO'!$C$3,'OPĆI DIO'!$L$6:$U$138,10,FALSE))</f>
        <v>08006</v>
      </c>
      <c r="B13" s="60" t="str">
        <f>IF(E13="","",VLOOKUP('OPĆI DIO'!$C$3,'OPĆI DIO'!$L$6:$U$138,9,FALSE))</f>
        <v>Sveučilišta i veleučilišta u Republici Hrvatskoj</v>
      </c>
      <c r="C13" s="103">
        <f t="shared" si="0"/>
        <v>43</v>
      </c>
      <c r="D13" s="59" t="str">
        <f t="shared" si="1"/>
        <v>Ostali prihodi za posebne namjene</v>
      </c>
      <c r="E13" s="68">
        <v>641510043</v>
      </c>
      <c r="F13" s="106" t="str">
        <f t="shared" si="2"/>
        <v>Prihodi od pozitivnih tečajnih razlika izvor 43</v>
      </c>
      <c r="G13" s="101"/>
      <c r="H13" s="101"/>
      <c r="I13" s="101">
        <v>32</v>
      </c>
      <c r="J13" s="68"/>
      <c r="L13" t="str">
        <f t="shared" si="3"/>
        <v>64</v>
      </c>
      <c r="M13" t="str">
        <f t="shared" si="4"/>
        <v>641</v>
      </c>
      <c r="N13">
        <v>552</v>
      </c>
      <c r="O13" t="s">
        <v>511</v>
      </c>
      <c r="R13" s="4">
        <v>631120000</v>
      </c>
      <c r="S13" s="4" t="s">
        <v>512</v>
      </c>
      <c r="T13" s="4">
        <v>52</v>
      </c>
      <c r="U13" s="4" t="s">
        <v>510</v>
      </c>
      <c r="V13">
        <v>631</v>
      </c>
      <c r="W13">
        <v>63</v>
      </c>
    </row>
    <row r="14" spans="1:23">
      <c r="A14" s="60" t="str">
        <f>IF(E14="","",VLOOKUP('OPĆI DIO'!$C$3,'OPĆI DIO'!$L$6:$U$138,10,FALSE))</f>
        <v>08006</v>
      </c>
      <c r="B14" s="60" t="str">
        <f>IF(E14="","",VLOOKUP('OPĆI DIO'!$C$3,'OPĆI DIO'!$L$6:$U$138,9,FALSE))</f>
        <v>Sveučilišta i veleučilišta u Republici Hrvatskoj</v>
      </c>
      <c r="C14" s="103">
        <f t="shared" si="0"/>
        <v>31</v>
      </c>
      <c r="D14" s="59" t="str">
        <f t="shared" si="1"/>
        <v>Vlastiti prihodi</v>
      </c>
      <c r="E14" s="68">
        <v>641510031</v>
      </c>
      <c r="F14" s="106" t="str">
        <f t="shared" si="2"/>
        <v>Prihodi od pozitivnih tečajnih razlika izvor 31</v>
      </c>
      <c r="G14" s="101"/>
      <c r="H14" s="101"/>
      <c r="I14" s="101">
        <v>1</v>
      </c>
      <c r="J14" s="68"/>
      <c r="L14" t="str">
        <f t="shared" si="3"/>
        <v>64</v>
      </c>
      <c r="M14" t="str">
        <f t="shared" si="4"/>
        <v>641</v>
      </c>
      <c r="N14">
        <v>559</v>
      </c>
      <c r="O14" t="s">
        <v>513</v>
      </c>
      <c r="R14" s="4">
        <v>631210000</v>
      </c>
      <c r="S14" s="4" t="s">
        <v>514</v>
      </c>
      <c r="T14" s="4">
        <v>52</v>
      </c>
      <c r="U14" s="4" t="s">
        <v>510</v>
      </c>
      <c r="V14">
        <v>631</v>
      </c>
      <c r="W14">
        <v>63</v>
      </c>
    </row>
    <row r="15" spans="1:23">
      <c r="A15" s="60" t="str">
        <f>IF(E15="","",VLOOKUP('OPĆI DIO'!$C$3,'OPĆI DIO'!$L$6:$U$138,10,FALSE))</f>
        <v>08006</v>
      </c>
      <c r="B15" s="60" t="str">
        <f>IF(E15="","",VLOOKUP('OPĆI DIO'!$C$3,'OPĆI DIO'!$L$6:$U$138,9,FALSE))</f>
        <v>Sveučilišta i veleučilišta u Republici Hrvatskoj</v>
      </c>
      <c r="C15" s="103">
        <f t="shared" si="0"/>
        <v>43</v>
      </c>
      <c r="D15" s="59" t="str">
        <f t="shared" si="1"/>
        <v>Ostali prihodi za posebne namjene</v>
      </c>
      <c r="E15" s="68">
        <v>652670043</v>
      </c>
      <c r="F15" s="106" t="str">
        <f t="shared" si="2"/>
        <v>Prihodi s naslova osiguranja, refundacije štete i totalne štete izvor 43</v>
      </c>
      <c r="G15" s="101"/>
      <c r="H15" s="101"/>
      <c r="I15" s="101">
        <v>413</v>
      </c>
      <c r="J15" s="68"/>
      <c r="L15" t="str">
        <f t="shared" si="3"/>
        <v>65</v>
      </c>
      <c r="M15" t="str">
        <f t="shared" si="4"/>
        <v>652</v>
      </c>
      <c r="N15">
        <v>561</v>
      </c>
      <c r="O15" t="s">
        <v>515</v>
      </c>
      <c r="R15" s="4">
        <v>631220000</v>
      </c>
      <c r="S15" s="4" t="s">
        <v>516</v>
      </c>
      <c r="T15" s="4">
        <v>52</v>
      </c>
      <c r="U15" s="4" t="s">
        <v>510</v>
      </c>
      <c r="V15">
        <v>631</v>
      </c>
      <c r="W15">
        <v>63</v>
      </c>
    </row>
    <row r="16" spans="1:23">
      <c r="A16" s="60" t="str">
        <f>IF(E16="","",VLOOKUP('OPĆI DIO'!$C$3,'OPĆI DIO'!$L$6:$U$138,10,FALSE))</f>
        <v>08006</v>
      </c>
      <c r="B16" s="60" t="str">
        <f>IF(E16="","",VLOOKUP('OPĆI DIO'!$C$3,'OPĆI DIO'!$L$6:$U$138,9,FALSE))</f>
        <v>Sveučilišta i veleučilišta u Republici Hrvatskoj</v>
      </c>
      <c r="C16" s="103">
        <f t="shared" si="0"/>
        <v>31</v>
      </c>
      <c r="D16" s="59" t="str">
        <f t="shared" si="1"/>
        <v>Vlastiti prihodi</v>
      </c>
      <c r="E16" s="68">
        <v>6614</v>
      </c>
      <c r="F16" s="106" t="str">
        <f t="shared" si="2"/>
        <v>Prihodi od prodanih proizvoda i robe</v>
      </c>
      <c r="G16" s="101">
        <f>3462</f>
        <v>3462</v>
      </c>
      <c r="H16" s="101"/>
      <c r="I16" s="101">
        <f>1227+12-17</f>
        <v>1222</v>
      </c>
      <c r="J16" s="68"/>
      <c r="L16" t="str">
        <f t="shared" si="3"/>
        <v>66</v>
      </c>
      <c r="M16" t="str">
        <f t="shared" si="4"/>
        <v>661</v>
      </c>
      <c r="N16">
        <v>563</v>
      </c>
      <c r="O16" t="s">
        <v>517</v>
      </c>
      <c r="R16" s="4">
        <v>632112000</v>
      </c>
      <c r="S16" s="4" t="s">
        <v>518</v>
      </c>
      <c r="T16" s="4">
        <v>52</v>
      </c>
      <c r="U16" s="4" t="s">
        <v>510</v>
      </c>
      <c r="V16">
        <v>632</v>
      </c>
      <c r="W16">
        <v>63</v>
      </c>
    </row>
    <row r="17" spans="1:23">
      <c r="A17" s="60" t="str">
        <f>IF(E17="","",VLOOKUP('OPĆI DIO'!$C$3,'OPĆI DIO'!$L$6:$U$138,10,FALSE))</f>
        <v>08006</v>
      </c>
      <c r="B17" s="60" t="str">
        <f>IF(E17="","",VLOOKUP('OPĆI DIO'!$C$3,'OPĆI DIO'!$L$6:$U$138,9,FALSE))</f>
        <v>Sveučilišta i veleučilišta u Republici Hrvatskoj</v>
      </c>
      <c r="C17" s="103">
        <f t="shared" si="0"/>
        <v>561</v>
      </c>
      <c r="D17" s="59" t="str">
        <f t="shared" si="1"/>
        <v>Europski socijalni fond (ESF)</v>
      </c>
      <c r="E17" s="68">
        <v>632310561</v>
      </c>
      <c r="F17" s="106" t="str">
        <f t="shared" si="2"/>
        <v>Europski socijalni fond (ESF)</v>
      </c>
      <c r="G17" s="101">
        <v>27852</v>
      </c>
      <c r="H17" s="101"/>
      <c r="I17" s="101"/>
      <c r="J17" s="68"/>
      <c r="L17" t="str">
        <f t="shared" si="3"/>
        <v>63</v>
      </c>
      <c r="M17" t="str">
        <f t="shared" si="4"/>
        <v>632</v>
      </c>
      <c r="N17">
        <v>573</v>
      </c>
      <c r="O17" t="s">
        <v>519</v>
      </c>
      <c r="R17" s="4">
        <v>632212000</v>
      </c>
      <c r="S17" s="4" t="s">
        <v>520</v>
      </c>
      <c r="T17" s="4">
        <v>52</v>
      </c>
      <c r="U17" s="4" t="s">
        <v>510</v>
      </c>
      <c r="V17">
        <v>632</v>
      </c>
      <c r="W17">
        <v>63</v>
      </c>
    </row>
    <row r="18" spans="1:23">
      <c r="A18" s="60" t="str">
        <f>IF(E18="","",VLOOKUP('OPĆI DIO'!$C$3,'OPĆI DIO'!$L$6:$U$138,10,FALSE))</f>
        <v>08006</v>
      </c>
      <c r="B18" s="60" t="str">
        <f>IF(E18="","",VLOOKUP('OPĆI DIO'!$C$3,'OPĆI DIO'!$L$6:$U$138,9,FALSE))</f>
        <v>Sveučilišta i veleučilišta u Republici Hrvatskoj</v>
      </c>
      <c r="C18" s="103">
        <f t="shared" si="0"/>
        <v>12</v>
      </c>
      <c r="D18" s="59" t="str">
        <f t="shared" si="1"/>
        <v>Sredstva učešća za pomoći</v>
      </c>
      <c r="E18" s="68" t="s">
        <v>487</v>
      </c>
      <c r="F18" s="106" t="str">
        <f t="shared" si="2"/>
        <v>Prihodi iz nadležnog proračuna za financiranje redovne djelatnosti proračunskih korisnika</v>
      </c>
      <c r="G18" s="101">
        <v>4915</v>
      </c>
      <c r="H18" s="101"/>
      <c r="I18" s="101"/>
      <c r="J18" s="68"/>
      <c r="L18" t="str">
        <f t="shared" si="3"/>
        <v>67</v>
      </c>
      <c r="M18" t="str">
        <f t="shared" si="4"/>
        <v>671</v>
      </c>
      <c r="N18">
        <v>575</v>
      </c>
      <c r="O18" t="s">
        <v>521</v>
      </c>
      <c r="R18" s="4">
        <v>632310552</v>
      </c>
      <c r="S18" s="4" t="s">
        <v>522</v>
      </c>
      <c r="T18" s="4">
        <v>552</v>
      </c>
      <c r="U18" s="4" t="s">
        <v>511</v>
      </c>
      <c r="V18">
        <v>632</v>
      </c>
      <c r="W18">
        <v>63</v>
      </c>
    </row>
    <row r="19" spans="1:23">
      <c r="A19" s="60" t="str">
        <f>IF(E19="","",VLOOKUP('OPĆI DIO'!$C$3,'OPĆI DIO'!$L$6:$U$138,10,FALSE))</f>
        <v>08006</v>
      </c>
      <c r="B19" s="60" t="str">
        <f>IF(E19="","",VLOOKUP('OPĆI DIO'!$C$3,'OPĆI DIO'!$L$6:$U$138,9,FALSE))</f>
        <v>Sveučilišta i veleučilišta u Republici Hrvatskoj</v>
      </c>
      <c r="C19" s="103">
        <f t="shared" si="0"/>
        <v>31</v>
      </c>
      <c r="D19" s="59" t="str">
        <f t="shared" si="1"/>
        <v>Vlastiti prihodi</v>
      </c>
      <c r="E19" s="68">
        <v>641510031</v>
      </c>
      <c r="F19" s="106" t="str">
        <f t="shared" si="2"/>
        <v>Prihodi od pozitivnih tečajnih razlika izvor 31</v>
      </c>
      <c r="G19" s="101"/>
      <c r="H19" s="101"/>
      <c r="I19" s="101">
        <v>524</v>
      </c>
      <c r="J19" s="68"/>
      <c r="L19" t="str">
        <f t="shared" si="3"/>
        <v>64</v>
      </c>
      <c r="M19" t="str">
        <f t="shared" si="4"/>
        <v>641</v>
      </c>
      <c r="N19" s="161">
        <v>5761</v>
      </c>
      <c r="O19" s="120" t="s">
        <v>523</v>
      </c>
      <c r="R19" s="4">
        <v>632310559</v>
      </c>
      <c r="S19" s="4" t="s">
        <v>524</v>
      </c>
      <c r="T19" s="4">
        <v>559</v>
      </c>
      <c r="U19" s="4" t="s">
        <v>513</v>
      </c>
      <c r="V19">
        <v>632</v>
      </c>
      <c r="W19">
        <v>63</v>
      </c>
    </row>
    <row r="20" spans="1:23">
      <c r="A20" s="60" t="str">
        <f>IF(E20="","",VLOOKUP('OPĆI DIO'!$C$3,'OPĆI DIO'!$L$6:$U$138,10,FALSE))</f>
        <v/>
      </c>
      <c r="B20" s="60" t="str">
        <f>IF(E20="","",VLOOKUP('OPĆI DIO'!$C$3,'OPĆI DIO'!$L$6:$U$138,9,FALSE))</f>
        <v/>
      </c>
      <c r="C20" s="103" t="str">
        <f t="shared" si="0"/>
        <v/>
      </c>
      <c r="D20" s="59" t="str">
        <f t="shared" si="1"/>
        <v/>
      </c>
      <c r="E20" s="68"/>
      <c r="F20" s="106" t="str">
        <f t="shared" si="2"/>
        <v/>
      </c>
      <c r="G20" s="101"/>
      <c r="H20" s="101"/>
      <c r="I20" s="101"/>
      <c r="J20" s="68"/>
      <c r="L20" t="str">
        <f t="shared" si="3"/>
        <v/>
      </c>
      <c r="M20" t="str">
        <f t="shared" si="4"/>
        <v/>
      </c>
      <c r="N20" s="161">
        <v>5762</v>
      </c>
      <c r="O20" s="120" t="s">
        <v>523</v>
      </c>
      <c r="R20" s="4">
        <v>632310561</v>
      </c>
      <c r="S20" s="4" t="s">
        <v>515</v>
      </c>
      <c r="T20" s="4">
        <v>561</v>
      </c>
      <c r="U20" s="4" t="s">
        <v>515</v>
      </c>
      <c r="V20">
        <v>632</v>
      </c>
      <c r="W20">
        <v>63</v>
      </c>
    </row>
    <row r="21" spans="1:23">
      <c r="A21" s="60" t="str">
        <f>IF(E21="","",VLOOKUP('OPĆI DIO'!$C$3,'OPĆI DIO'!$L$6:$U$138,10,FALSE))</f>
        <v/>
      </c>
      <c r="B21" s="60" t="str">
        <f>IF(E21="","",VLOOKUP('OPĆI DIO'!$C$3,'OPĆI DIO'!$L$6:$U$138,9,FALSE))</f>
        <v/>
      </c>
      <c r="C21" s="103" t="str">
        <f t="shared" si="0"/>
        <v/>
      </c>
      <c r="D21" s="59" t="str">
        <f t="shared" si="1"/>
        <v/>
      </c>
      <c r="E21" s="68"/>
      <c r="F21" s="106" t="str">
        <f t="shared" si="2"/>
        <v/>
      </c>
      <c r="G21" s="101"/>
      <c r="H21" s="101"/>
      <c r="I21" s="101"/>
      <c r="J21" s="68"/>
      <c r="L21" t="str">
        <f t="shared" si="3"/>
        <v/>
      </c>
      <c r="M21" t="str">
        <f t="shared" si="4"/>
        <v/>
      </c>
      <c r="N21">
        <v>581</v>
      </c>
      <c r="O21" s="143" t="s">
        <v>525</v>
      </c>
      <c r="R21" s="4">
        <v>632310563</v>
      </c>
      <c r="S21" s="4" t="s">
        <v>526</v>
      </c>
      <c r="T21" s="4">
        <v>563</v>
      </c>
      <c r="U21" s="4" t="s">
        <v>517</v>
      </c>
      <c r="V21">
        <v>632</v>
      </c>
      <c r="W21">
        <v>63</v>
      </c>
    </row>
    <row r="22" spans="1:23">
      <c r="A22" s="60" t="str">
        <f>IF(E22="","",VLOOKUP('OPĆI DIO'!$C$3,'OPĆI DIO'!$L$6:$U$138,10,FALSE))</f>
        <v/>
      </c>
      <c r="B22" s="60" t="str">
        <f>IF(E22="","",VLOOKUP('OPĆI DIO'!$C$3,'OPĆI DIO'!$L$6:$U$138,9,FALSE))</f>
        <v/>
      </c>
      <c r="C22" s="103" t="str">
        <f t="shared" si="0"/>
        <v/>
      </c>
      <c r="D22" s="59" t="str">
        <f t="shared" si="1"/>
        <v/>
      </c>
      <c r="E22" s="68"/>
      <c r="F22" s="106" t="str">
        <f t="shared" si="2"/>
        <v/>
      </c>
      <c r="G22" s="101"/>
      <c r="H22" s="101"/>
      <c r="I22" s="101"/>
      <c r="J22" s="68"/>
      <c r="L22" t="str">
        <f t="shared" si="3"/>
        <v/>
      </c>
      <c r="M22" t="str">
        <f t="shared" si="4"/>
        <v/>
      </c>
      <c r="N22">
        <v>61</v>
      </c>
      <c r="O22" t="s">
        <v>527</v>
      </c>
      <c r="R22" s="4">
        <v>632310573</v>
      </c>
      <c r="S22" s="4" t="s">
        <v>528</v>
      </c>
      <c r="T22" s="4">
        <v>573</v>
      </c>
      <c r="U22" s="4" t="s">
        <v>519</v>
      </c>
      <c r="V22">
        <v>632</v>
      </c>
      <c r="W22">
        <v>63</v>
      </c>
    </row>
    <row r="23" spans="1:23">
      <c r="A23" s="60" t="str">
        <f>IF(E23="","",VLOOKUP('OPĆI DIO'!$C$3,'OPĆI DIO'!$L$6:$U$138,10,FALSE))</f>
        <v/>
      </c>
      <c r="B23" s="60" t="str">
        <f>IF(E23="","",VLOOKUP('OPĆI DIO'!$C$3,'OPĆI DIO'!$L$6:$U$138,9,FALSE))</f>
        <v/>
      </c>
      <c r="C23" s="103" t="str">
        <f t="shared" si="0"/>
        <v/>
      </c>
      <c r="D23" s="59" t="str">
        <f t="shared" si="1"/>
        <v/>
      </c>
      <c r="E23" s="68"/>
      <c r="F23" s="106" t="str">
        <f t="shared" si="2"/>
        <v/>
      </c>
      <c r="G23" s="101"/>
      <c r="H23" s="101"/>
      <c r="I23" s="101"/>
      <c r="J23" s="68"/>
      <c r="L23" t="str">
        <f t="shared" si="3"/>
        <v/>
      </c>
      <c r="M23" t="str">
        <f t="shared" si="4"/>
        <v/>
      </c>
      <c r="N23" s="159">
        <v>63</v>
      </c>
      <c r="O23" t="s">
        <v>529</v>
      </c>
      <c r="R23" s="4">
        <v>632310575</v>
      </c>
      <c r="S23" s="4" t="s">
        <v>530</v>
      </c>
      <c r="T23" s="4">
        <v>575</v>
      </c>
      <c r="U23" s="4" t="s">
        <v>521</v>
      </c>
      <c r="V23">
        <v>632</v>
      </c>
      <c r="W23">
        <v>63</v>
      </c>
    </row>
    <row r="24" spans="1:23">
      <c r="A24" s="60" t="str">
        <f>IF(E24="","",VLOOKUP('OPĆI DIO'!$C$3,'OPĆI DIO'!$L$6:$U$138,10,FALSE))</f>
        <v/>
      </c>
      <c r="B24" s="60" t="str">
        <f>IF(E24="","",VLOOKUP('OPĆI DIO'!$C$3,'OPĆI DIO'!$L$6:$U$138,9,FALSE))</f>
        <v/>
      </c>
      <c r="C24" s="103" t="str">
        <f t="shared" si="0"/>
        <v/>
      </c>
      <c r="D24" s="59" t="str">
        <f t="shared" si="1"/>
        <v/>
      </c>
      <c r="E24" s="68"/>
      <c r="F24" s="106" t="str">
        <f t="shared" si="2"/>
        <v/>
      </c>
      <c r="G24" s="101"/>
      <c r="H24" s="101"/>
      <c r="I24" s="101"/>
      <c r="J24" s="68"/>
      <c r="L24" t="str">
        <f t="shared" si="3"/>
        <v/>
      </c>
      <c r="M24" t="str">
        <f t="shared" si="4"/>
        <v/>
      </c>
      <c r="N24">
        <v>71</v>
      </c>
      <c r="O24" t="s">
        <v>531</v>
      </c>
      <c r="R24" s="160">
        <v>632315761</v>
      </c>
      <c r="S24" s="160" t="s">
        <v>532</v>
      </c>
      <c r="T24" s="160">
        <v>576</v>
      </c>
      <c r="U24" s="160" t="s">
        <v>533</v>
      </c>
      <c r="V24">
        <v>632</v>
      </c>
      <c r="W24">
        <v>63</v>
      </c>
    </row>
    <row r="25" spans="1:23">
      <c r="A25" s="60" t="str">
        <f>IF(E25="","",VLOOKUP('OPĆI DIO'!$C$3,'OPĆI DIO'!$L$6:$U$138,10,FALSE))</f>
        <v/>
      </c>
      <c r="B25" s="60" t="str">
        <f>IF(E25="","",VLOOKUP('OPĆI DIO'!$C$3,'OPĆI DIO'!$L$6:$U$138,9,FALSE))</f>
        <v/>
      </c>
      <c r="C25" s="103" t="str">
        <f t="shared" si="0"/>
        <v/>
      </c>
      <c r="D25" s="59" t="str">
        <f t="shared" si="1"/>
        <v/>
      </c>
      <c r="E25" s="68"/>
      <c r="F25" s="106" t="str">
        <f t="shared" si="2"/>
        <v/>
      </c>
      <c r="G25" s="101"/>
      <c r="H25" s="101"/>
      <c r="I25" s="101"/>
      <c r="J25" s="68"/>
      <c r="L25" t="str">
        <f t="shared" si="3"/>
        <v/>
      </c>
      <c r="M25" t="str">
        <f t="shared" si="4"/>
        <v/>
      </c>
      <c r="N25">
        <v>81</v>
      </c>
      <c r="O25" t="s">
        <v>534</v>
      </c>
      <c r="R25" s="160">
        <v>632315762</v>
      </c>
      <c r="S25" s="160" t="s">
        <v>535</v>
      </c>
      <c r="T25" s="160">
        <v>576</v>
      </c>
      <c r="U25" s="160" t="s">
        <v>533</v>
      </c>
      <c r="V25">
        <v>632</v>
      </c>
      <c r="W25">
        <v>63</v>
      </c>
    </row>
    <row r="26" spans="1:23">
      <c r="A26" s="60" t="str">
        <f>IF(E26="","",VLOOKUP('OPĆI DIO'!$C$3,'OPĆI DIO'!$L$6:$U$138,10,FALSE))</f>
        <v/>
      </c>
      <c r="B26" s="60" t="str">
        <f>IF(E26="","",VLOOKUP('OPĆI DIO'!$C$3,'OPĆI DIO'!$L$6:$U$138,9,FALSE))</f>
        <v/>
      </c>
      <c r="C26" s="103" t="str">
        <f t="shared" si="0"/>
        <v/>
      </c>
      <c r="D26" s="59" t="str">
        <f t="shared" si="1"/>
        <v/>
      </c>
      <c r="E26" s="68"/>
      <c r="F26" s="106" t="str">
        <f t="shared" si="2"/>
        <v/>
      </c>
      <c r="G26" s="101"/>
      <c r="H26" s="101"/>
      <c r="I26" s="101"/>
      <c r="J26" s="68"/>
      <c r="L26" t="str">
        <f t="shared" si="3"/>
        <v/>
      </c>
      <c r="M26" t="str">
        <f t="shared" si="4"/>
        <v/>
      </c>
      <c r="R26" s="4">
        <v>632310581</v>
      </c>
      <c r="S26" s="4" t="s">
        <v>536</v>
      </c>
      <c r="T26" s="4">
        <v>581</v>
      </c>
      <c r="U26" s="4" t="s">
        <v>525</v>
      </c>
      <c r="V26">
        <v>632</v>
      </c>
      <c r="W26">
        <v>63</v>
      </c>
    </row>
    <row r="27" spans="1:23">
      <c r="A27" s="60" t="str">
        <f>IF(E27="","",VLOOKUP('OPĆI DIO'!$C$3,'OPĆI DIO'!$L$6:$U$138,10,FALSE))</f>
        <v/>
      </c>
      <c r="B27" s="60" t="str">
        <f>IF(E27="","",VLOOKUP('OPĆI DIO'!$C$3,'OPĆI DIO'!$L$6:$U$138,9,FALSE))</f>
        <v/>
      </c>
      <c r="C27" s="103" t="str">
        <f t="shared" si="0"/>
        <v/>
      </c>
      <c r="D27" s="59" t="str">
        <f t="shared" si="1"/>
        <v/>
      </c>
      <c r="E27" s="68"/>
      <c r="F27" s="106" t="str">
        <f t="shared" si="2"/>
        <v/>
      </c>
      <c r="G27" s="101"/>
      <c r="H27" s="101"/>
      <c r="I27" s="101"/>
      <c r="J27" s="68"/>
      <c r="L27" t="str">
        <f t="shared" si="3"/>
        <v/>
      </c>
      <c r="M27" t="str">
        <f t="shared" si="4"/>
        <v/>
      </c>
      <c r="R27" s="4">
        <v>632311700</v>
      </c>
      <c r="S27" s="4" t="s">
        <v>537</v>
      </c>
      <c r="T27" s="4">
        <v>51</v>
      </c>
      <c r="U27" s="4" t="s">
        <v>538</v>
      </c>
      <c r="V27">
        <v>632</v>
      </c>
      <c r="W27">
        <v>63</v>
      </c>
    </row>
    <row r="28" spans="1:23">
      <c r="A28" s="60" t="str">
        <f>IF(E28="","",VLOOKUP('OPĆI DIO'!$C$3,'OPĆI DIO'!$L$6:$U$138,10,FALSE))</f>
        <v/>
      </c>
      <c r="B28" s="60" t="str">
        <f>IF(E28="","",VLOOKUP('OPĆI DIO'!$C$3,'OPĆI DIO'!$L$6:$U$138,9,FALSE))</f>
        <v/>
      </c>
      <c r="C28" s="103" t="str">
        <f t="shared" si="0"/>
        <v/>
      </c>
      <c r="D28" s="59" t="str">
        <f t="shared" si="1"/>
        <v/>
      </c>
      <c r="E28" s="68"/>
      <c r="F28" s="106" t="str">
        <f t="shared" si="2"/>
        <v/>
      </c>
      <c r="G28" s="101"/>
      <c r="H28" s="101"/>
      <c r="I28" s="101"/>
      <c r="J28" s="68"/>
      <c r="L28" t="str">
        <f t="shared" si="3"/>
        <v/>
      </c>
      <c r="M28" t="str">
        <f t="shared" si="4"/>
        <v/>
      </c>
      <c r="R28" s="4">
        <v>632311800</v>
      </c>
      <c r="S28" s="4" t="s">
        <v>539</v>
      </c>
      <c r="T28" s="4">
        <v>51</v>
      </c>
      <c r="U28" s="4" t="s">
        <v>538</v>
      </c>
      <c r="V28">
        <v>632</v>
      </c>
      <c r="W28">
        <v>63</v>
      </c>
    </row>
    <row r="29" spans="1:23">
      <c r="A29" s="60" t="str">
        <f>IF(E29="","",VLOOKUP('OPĆI DIO'!$C$3,'OPĆI DIO'!$L$6:$U$138,10,FALSE))</f>
        <v/>
      </c>
      <c r="B29" s="60" t="str">
        <f>IF(E29="","",VLOOKUP('OPĆI DIO'!$C$3,'OPĆI DIO'!$L$6:$U$138,9,FALSE))</f>
        <v/>
      </c>
      <c r="C29" s="103" t="str">
        <f t="shared" si="0"/>
        <v/>
      </c>
      <c r="D29" s="59" t="str">
        <f t="shared" si="1"/>
        <v/>
      </c>
      <c r="E29" s="68"/>
      <c r="F29" s="106" t="str">
        <f t="shared" si="2"/>
        <v/>
      </c>
      <c r="G29" s="101"/>
      <c r="H29" s="101"/>
      <c r="I29" s="101"/>
      <c r="J29" s="68"/>
      <c r="L29" t="str">
        <f t="shared" si="3"/>
        <v/>
      </c>
      <c r="M29" t="str">
        <f t="shared" si="4"/>
        <v/>
      </c>
      <c r="R29" s="4">
        <v>632410552</v>
      </c>
      <c r="S29" s="4" t="s">
        <v>540</v>
      </c>
      <c r="T29" s="4">
        <v>552</v>
      </c>
      <c r="U29" s="4" t="s">
        <v>511</v>
      </c>
      <c r="V29">
        <v>632</v>
      </c>
      <c r="W29">
        <v>63</v>
      </c>
    </row>
    <row r="30" spans="1:23">
      <c r="A30" s="60" t="str">
        <f>IF(E30="","",VLOOKUP('OPĆI DIO'!$C$3,'OPĆI DIO'!$L$6:$U$138,10,FALSE))</f>
        <v/>
      </c>
      <c r="B30" s="60" t="str">
        <f>IF(E30="","",VLOOKUP('OPĆI DIO'!$C$3,'OPĆI DIO'!$L$6:$U$138,9,FALSE))</f>
        <v/>
      </c>
      <c r="C30" s="103" t="str">
        <f t="shared" si="0"/>
        <v/>
      </c>
      <c r="D30" s="59" t="str">
        <f t="shared" si="1"/>
        <v/>
      </c>
      <c r="E30" s="68"/>
      <c r="F30" s="106" t="str">
        <f t="shared" si="2"/>
        <v/>
      </c>
      <c r="G30" s="101"/>
      <c r="H30" s="101"/>
      <c r="I30" s="101"/>
      <c r="J30" s="68"/>
      <c r="L30" t="str">
        <f t="shared" si="3"/>
        <v/>
      </c>
      <c r="M30" t="str">
        <f t="shared" si="4"/>
        <v/>
      </c>
      <c r="R30" s="4">
        <v>632410559</v>
      </c>
      <c r="S30" s="4" t="s">
        <v>541</v>
      </c>
      <c r="T30" s="4">
        <v>559</v>
      </c>
      <c r="U30" s="4" t="s">
        <v>513</v>
      </c>
      <c r="V30">
        <v>632</v>
      </c>
      <c r="W30">
        <v>63</v>
      </c>
    </row>
    <row r="31" spans="1:23">
      <c r="A31" s="60" t="str">
        <f>IF(E31="","",VLOOKUP('OPĆI DIO'!$C$3,'OPĆI DIO'!$L$6:$U$138,10,FALSE))</f>
        <v/>
      </c>
      <c r="B31" s="60" t="str">
        <f>IF(E31="","",VLOOKUP('OPĆI DIO'!$C$3,'OPĆI DIO'!$L$6:$U$138,9,FALSE))</f>
        <v/>
      </c>
      <c r="C31" s="103" t="str">
        <f t="shared" si="0"/>
        <v/>
      </c>
      <c r="D31" s="59" t="str">
        <f t="shared" si="1"/>
        <v/>
      </c>
      <c r="E31" s="68"/>
      <c r="F31" s="106" t="str">
        <f t="shared" si="2"/>
        <v/>
      </c>
      <c r="G31" s="101"/>
      <c r="H31" s="101"/>
      <c r="I31" s="101"/>
      <c r="J31" s="68"/>
      <c r="L31" t="str">
        <f t="shared" si="3"/>
        <v/>
      </c>
      <c r="M31" t="str">
        <f t="shared" si="4"/>
        <v/>
      </c>
      <c r="R31" s="4">
        <v>632410561</v>
      </c>
      <c r="S31" s="4" t="s">
        <v>515</v>
      </c>
      <c r="T31" s="4">
        <v>561</v>
      </c>
      <c r="U31" s="4" t="s">
        <v>515</v>
      </c>
      <c r="V31">
        <v>632</v>
      </c>
      <c r="W31">
        <v>63</v>
      </c>
    </row>
    <row r="32" spans="1:23">
      <c r="A32" s="60" t="str">
        <f>IF(E32="","",VLOOKUP('OPĆI DIO'!$C$3,'OPĆI DIO'!$L$6:$U$138,10,FALSE))</f>
        <v/>
      </c>
      <c r="B32" s="60" t="str">
        <f>IF(E32="","",VLOOKUP('OPĆI DIO'!$C$3,'OPĆI DIO'!$L$6:$U$138,9,FALSE))</f>
        <v/>
      </c>
      <c r="C32" s="103" t="str">
        <f t="shared" si="0"/>
        <v/>
      </c>
      <c r="D32" s="59" t="str">
        <f t="shared" si="1"/>
        <v/>
      </c>
      <c r="E32" s="68"/>
      <c r="F32" s="106" t="str">
        <f t="shared" si="2"/>
        <v/>
      </c>
      <c r="G32" s="101"/>
      <c r="H32" s="101"/>
      <c r="I32" s="101"/>
      <c r="J32" s="68"/>
      <c r="L32" t="str">
        <f t="shared" si="3"/>
        <v/>
      </c>
      <c r="M32" t="str">
        <f t="shared" si="4"/>
        <v/>
      </c>
      <c r="R32" s="4">
        <v>632410563</v>
      </c>
      <c r="S32" s="4" t="s">
        <v>526</v>
      </c>
      <c r="T32" s="4">
        <v>563</v>
      </c>
      <c r="U32" s="4" t="s">
        <v>517</v>
      </c>
      <c r="V32">
        <v>632</v>
      </c>
      <c r="W32">
        <v>63</v>
      </c>
    </row>
    <row r="33" spans="1:23">
      <c r="A33" s="60" t="str">
        <f>IF(E33="","",VLOOKUP('OPĆI DIO'!$C$3,'OPĆI DIO'!$L$6:$U$138,10,FALSE))</f>
        <v/>
      </c>
      <c r="B33" s="60" t="str">
        <f>IF(E33="","",VLOOKUP('OPĆI DIO'!$C$3,'OPĆI DIO'!$L$6:$U$138,9,FALSE))</f>
        <v/>
      </c>
      <c r="C33" s="103" t="str">
        <f t="shared" si="0"/>
        <v/>
      </c>
      <c r="D33" s="59" t="str">
        <f t="shared" si="1"/>
        <v/>
      </c>
      <c r="E33" s="68"/>
      <c r="F33" s="106" t="str">
        <f t="shared" si="2"/>
        <v/>
      </c>
      <c r="G33" s="101"/>
      <c r="H33" s="101"/>
      <c r="I33" s="101"/>
      <c r="J33" s="68"/>
      <c r="L33" t="str">
        <f t="shared" si="3"/>
        <v/>
      </c>
      <c r="M33" t="str">
        <f t="shared" si="4"/>
        <v/>
      </c>
      <c r="R33" s="4">
        <v>632410573</v>
      </c>
      <c r="S33" s="4" t="s">
        <v>542</v>
      </c>
      <c r="T33" s="4">
        <v>573</v>
      </c>
      <c r="U33" s="4" t="s">
        <v>519</v>
      </c>
      <c r="V33">
        <v>632</v>
      </c>
      <c r="W33">
        <v>63</v>
      </c>
    </row>
    <row r="34" spans="1:23">
      <c r="A34" s="60" t="str">
        <f>IF(E34="","",VLOOKUP('OPĆI DIO'!$C$3,'OPĆI DIO'!$L$6:$U$138,10,FALSE))</f>
        <v/>
      </c>
      <c r="B34" s="60" t="str">
        <f>IF(E34="","",VLOOKUP('OPĆI DIO'!$C$3,'OPĆI DIO'!$L$6:$U$138,9,FALSE))</f>
        <v/>
      </c>
      <c r="C34" s="103" t="str">
        <f t="shared" si="0"/>
        <v/>
      </c>
      <c r="D34" s="59" t="str">
        <f t="shared" si="1"/>
        <v/>
      </c>
      <c r="E34" s="68"/>
      <c r="F34" s="106" t="str">
        <f t="shared" si="2"/>
        <v/>
      </c>
      <c r="G34" s="101"/>
      <c r="H34" s="101"/>
      <c r="I34" s="101"/>
      <c r="J34" s="68"/>
      <c r="L34" t="str">
        <f t="shared" si="3"/>
        <v/>
      </c>
      <c r="M34" t="str">
        <f t="shared" si="4"/>
        <v/>
      </c>
      <c r="R34" s="4">
        <v>632410575</v>
      </c>
      <c r="S34" s="4" t="s">
        <v>543</v>
      </c>
      <c r="T34" s="4">
        <v>575</v>
      </c>
      <c r="U34" s="4" t="s">
        <v>521</v>
      </c>
      <c r="V34">
        <v>632</v>
      </c>
      <c r="W34">
        <v>63</v>
      </c>
    </row>
    <row r="35" spans="1:23">
      <c r="A35" s="60" t="str">
        <f>IF(E35="","",VLOOKUP('OPĆI DIO'!$C$3,'OPĆI DIO'!$L$6:$U$138,10,FALSE))</f>
        <v/>
      </c>
      <c r="B35" s="60" t="str">
        <f>IF(E35="","",VLOOKUP('OPĆI DIO'!$C$3,'OPĆI DIO'!$L$6:$U$138,9,FALSE))</f>
        <v/>
      </c>
      <c r="C35" s="103" t="str">
        <f t="shared" si="0"/>
        <v/>
      </c>
      <c r="D35" s="59" t="str">
        <f t="shared" si="1"/>
        <v/>
      </c>
      <c r="E35" s="68"/>
      <c r="F35" s="106" t="str">
        <f t="shared" si="2"/>
        <v/>
      </c>
      <c r="G35" s="101"/>
      <c r="H35" s="101"/>
      <c r="I35" s="101"/>
      <c r="J35" s="68"/>
      <c r="L35" t="str">
        <f t="shared" si="3"/>
        <v/>
      </c>
      <c r="M35" t="str">
        <f t="shared" si="4"/>
        <v/>
      </c>
      <c r="R35" s="160">
        <v>632415761</v>
      </c>
      <c r="S35" s="160" t="s">
        <v>544</v>
      </c>
      <c r="T35" s="160">
        <v>576</v>
      </c>
      <c r="U35" s="160" t="s">
        <v>533</v>
      </c>
      <c r="V35">
        <v>632</v>
      </c>
      <c r="W35">
        <v>63</v>
      </c>
    </row>
    <row r="36" spans="1:23">
      <c r="A36" s="60" t="str">
        <f>IF(E36="","",VLOOKUP('OPĆI DIO'!$C$3,'OPĆI DIO'!$L$6:$U$138,10,FALSE))</f>
        <v/>
      </c>
      <c r="B36" s="60" t="str">
        <f>IF(E36="","",VLOOKUP('OPĆI DIO'!$C$3,'OPĆI DIO'!$L$6:$U$138,9,FALSE))</f>
        <v/>
      </c>
      <c r="C36" s="103" t="str">
        <f t="shared" si="0"/>
        <v/>
      </c>
      <c r="D36" s="59" t="str">
        <f t="shared" si="1"/>
        <v/>
      </c>
      <c r="E36" s="68"/>
      <c r="F36" s="106" t="str">
        <f t="shared" si="2"/>
        <v/>
      </c>
      <c r="G36" s="101"/>
      <c r="H36" s="101"/>
      <c r="I36" s="101"/>
      <c r="J36" s="68"/>
      <c r="L36" t="str">
        <f t="shared" si="3"/>
        <v/>
      </c>
      <c r="M36" t="str">
        <f t="shared" si="4"/>
        <v/>
      </c>
      <c r="R36" s="160">
        <v>632415762</v>
      </c>
      <c r="S36" s="160" t="s">
        <v>545</v>
      </c>
      <c r="T36" s="160">
        <v>576</v>
      </c>
      <c r="U36" s="160" t="s">
        <v>533</v>
      </c>
      <c r="V36">
        <v>632</v>
      </c>
      <c r="W36">
        <v>63</v>
      </c>
    </row>
    <row r="37" spans="1:23">
      <c r="A37" s="60" t="str">
        <f>IF(E37="","",VLOOKUP('OPĆI DIO'!$C$3,'OPĆI DIO'!$L$6:$U$138,10,FALSE))</f>
        <v/>
      </c>
      <c r="B37" s="60" t="str">
        <f>IF(E37="","",VLOOKUP('OPĆI DIO'!$C$3,'OPĆI DIO'!$L$6:$U$138,9,FALSE))</f>
        <v/>
      </c>
      <c r="C37" s="103" t="str">
        <f t="shared" si="0"/>
        <v/>
      </c>
      <c r="D37" s="59" t="str">
        <f t="shared" si="1"/>
        <v/>
      </c>
      <c r="E37" s="68"/>
      <c r="F37" s="106" t="str">
        <f t="shared" si="2"/>
        <v/>
      </c>
      <c r="G37" s="101"/>
      <c r="H37" s="101"/>
      <c r="I37" s="101"/>
      <c r="J37" s="68"/>
      <c r="L37" t="str">
        <f t="shared" si="3"/>
        <v/>
      </c>
      <c r="M37" t="str">
        <f t="shared" si="4"/>
        <v/>
      </c>
      <c r="R37" s="4">
        <v>632410581</v>
      </c>
      <c r="S37" s="4" t="s">
        <v>546</v>
      </c>
      <c r="T37" s="4">
        <v>581</v>
      </c>
      <c r="U37" s="4" t="s">
        <v>525</v>
      </c>
      <c r="V37">
        <v>632</v>
      </c>
      <c r="W37">
        <v>63</v>
      </c>
    </row>
    <row r="38" spans="1:23">
      <c r="A38" s="60" t="str">
        <f>IF(E38="","",VLOOKUP('OPĆI DIO'!$C$3,'OPĆI DIO'!$L$6:$U$138,10,FALSE))</f>
        <v/>
      </c>
      <c r="B38" s="60" t="str">
        <f>IF(E38="","",VLOOKUP('OPĆI DIO'!$C$3,'OPĆI DIO'!$L$6:$U$138,9,FALSE))</f>
        <v/>
      </c>
      <c r="C38" s="103" t="str">
        <f t="shared" si="0"/>
        <v/>
      </c>
      <c r="D38" s="59" t="str">
        <f t="shared" si="1"/>
        <v/>
      </c>
      <c r="E38" s="68"/>
      <c r="F38" s="106" t="str">
        <f t="shared" si="2"/>
        <v/>
      </c>
      <c r="G38" s="101"/>
      <c r="H38" s="101"/>
      <c r="I38" s="101"/>
      <c r="J38" s="68"/>
      <c r="L38" t="str">
        <f t="shared" si="3"/>
        <v/>
      </c>
      <c r="M38" t="str">
        <f t="shared" si="4"/>
        <v/>
      </c>
      <c r="R38" s="4">
        <v>632411700</v>
      </c>
      <c r="S38" s="4" t="s">
        <v>547</v>
      </c>
      <c r="T38" s="4">
        <v>51</v>
      </c>
      <c r="U38" s="4" t="s">
        <v>538</v>
      </c>
      <c r="V38">
        <v>632</v>
      </c>
      <c r="W38">
        <v>63</v>
      </c>
    </row>
    <row r="39" spans="1:23">
      <c r="A39" s="60" t="str">
        <f>IF(E39="","",VLOOKUP('OPĆI DIO'!$C$3,'OPĆI DIO'!$L$6:$U$138,10,FALSE))</f>
        <v/>
      </c>
      <c r="B39" s="60" t="str">
        <f>IF(E39="","",VLOOKUP('OPĆI DIO'!$C$3,'OPĆI DIO'!$L$6:$U$138,9,FALSE))</f>
        <v/>
      </c>
      <c r="C39" s="103" t="str">
        <f t="shared" si="0"/>
        <v/>
      </c>
      <c r="D39" s="59" t="str">
        <f t="shared" si="1"/>
        <v/>
      </c>
      <c r="E39" s="68"/>
      <c r="F39" s="106" t="str">
        <f t="shared" si="2"/>
        <v/>
      </c>
      <c r="G39" s="101"/>
      <c r="H39" s="101"/>
      <c r="I39" s="101"/>
      <c r="J39" s="68"/>
      <c r="K39" s="250"/>
      <c r="L39" t="str">
        <f t="shared" si="3"/>
        <v/>
      </c>
      <c r="M39" s="250">
        <f>+G11+G12+G37</f>
        <v>1475</v>
      </c>
      <c r="R39" s="4">
        <v>6341</v>
      </c>
      <c r="S39" s="4" t="s">
        <v>548</v>
      </c>
      <c r="T39" s="4">
        <v>52</v>
      </c>
      <c r="U39" s="4" t="s">
        <v>510</v>
      </c>
      <c r="V39">
        <v>634</v>
      </c>
      <c r="W39">
        <v>63</v>
      </c>
    </row>
    <row r="40" spans="1:23">
      <c r="A40" s="60" t="str">
        <f>IF(E40="","",VLOOKUP('OPĆI DIO'!$C$3,'OPĆI DIO'!$L$6:$U$138,10,FALSE))</f>
        <v/>
      </c>
      <c r="B40" s="60" t="str">
        <f>IF(E40="","",VLOOKUP('OPĆI DIO'!$C$3,'OPĆI DIO'!$L$6:$U$138,9,FALSE))</f>
        <v/>
      </c>
      <c r="C40" s="103" t="str">
        <f t="shared" si="0"/>
        <v/>
      </c>
      <c r="D40" s="59" t="str">
        <f t="shared" si="1"/>
        <v/>
      </c>
      <c r="E40" s="68"/>
      <c r="F40" s="106" t="str">
        <f t="shared" si="2"/>
        <v/>
      </c>
      <c r="G40" s="101"/>
      <c r="H40" s="101"/>
      <c r="I40" s="101"/>
      <c r="J40" s="68"/>
      <c r="L40" t="str">
        <f t="shared" si="3"/>
        <v/>
      </c>
      <c r="M40" t="str">
        <f t="shared" si="4"/>
        <v/>
      </c>
      <c r="R40" s="4">
        <v>6342</v>
      </c>
      <c r="S40" s="4" t="s">
        <v>549</v>
      </c>
      <c r="T40" s="4">
        <v>52</v>
      </c>
      <c r="U40" s="4" t="s">
        <v>510</v>
      </c>
      <c r="V40">
        <v>634</v>
      </c>
      <c r="W40">
        <v>63</v>
      </c>
    </row>
    <row r="41" spans="1:23">
      <c r="A41" s="60" t="str">
        <f>IF(E41="","",VLOOKUP('OPĆI DIO'!$C$3,'OPĆI DIO'!$L$6:$U$138,10,FALSE))</f>
        <v/>
      </c>
      <c r="B41" s="60" t="str">
        <f>IF(E41="","",VLOOKUP('OPĆI DIO'!$C$3,'OPĆI DIO'!$L$6:$U$138,9,FALSE))</f>
        <v/>
      </c>
      <c r="C41" s="103" t="str">
        <f t="shared" si="0"/>
        <v/>
      </c>
      <c r="D41" s="59" t="str">
        <f t="shared" si="1"/>
        <v/>
      </c>
      <c r="E41" s="68"/>
      <c r="F41" s="106" t="str">
        <f t="shared" si="2"/>
        <v/>
      </c>
      <c r="G41" s="101"/>
      <c r="H41" s="101"/>
      <c r="I41" s="101"/>
      <c r="J41" s="68"/>
      <c r="L41" t="str">
        <f t="shared" si="3"/>
        <v/>
      </c>
      <c r="M41" t="str">
        <f t="shared" si="4"/>
        <v/>
      </c>
      <c r="R41" s="4">
        <v>6361</v>
      </c>
      <c r="S41" s="4" t="s">
        <v>550</v>
      </c>
      <c r="T41" s="4">
        <v>52</v>
      </c>
      <c r="U41" s="4" t="s">
        <v>510</v>
      </c>
      <c r="V41">
        <v>636</v>
      </c>
      <c r="W41">
        <v>63</v>
      </c>
    </row>
    <row r="42" spans="1:23">
      <c r="A42" s="60" t="str">
        <f>IF(E42="","",VLOOKUP('OPĆI DIO'!$C$3,'OPĆI DIO'!$L$6:$U$138,10,FALSE))</f>
        <v/>
      </c>
      <c r="B42" s="60" t="str">
        <f>IF(E42="","",VLOOKUP('OPĆI DIO'!$C$3,'OPĆI DIO'!$L$6:$U$138,9,FALSE))</f>
        <v/>
      </c>
      <c r="C42" s="103" t="str">
        <f t="shared" si="0"/>
        <v/>
      </c>
      <c r="D42" s="59" t="str">
        <f t="shared" si="1"/>
        <v/>
      </c>
      <c r="E42" s="68"/>
      <c r="F42" s="106" t="str">
        <f t="shared" si="2"/>
        <v/>
      </c>
      <c r="G42" s="101"/>
      <c r="H42" s="101"/>
      <c r="I42" s="101"/>
      <c r="J42" s="68"/>
      <c r="L42" t="str">
        <f t="shared" si="3"/>
        <v/>
      </c>
      <c r="M42" t="str">
        <f t="shared" si="4"/>
        <v/>
      </c>
      <c r="R42" s="4">
        <v>6362</v>
      </c>
      <c r="S42" s="4" t="s">
        <v>551</v>
      </c>
      <c r="T42" s="4">
        <v>52</v>
      </c>
      <c r="U42" s="4" t="s">
        <v>510</v>
      </c>
      <c r="V42">
        <v>636</v>
      </c>
      <c r="W42">
        <v>63</v>
      </c>
    </row>
    <row r="43" spans="1:23">
      <c r="A43" s="60" t="str">
        <f>IF(E43="","",VLOOKUP('OPĆI DIO'!$C$3,'OPĆI DIO'!$L$6:$U$138,10,FALSE))</f>
        <v/>
      </c>
      <c r="B43" s="60" t="str">
        <f>IF(E43="","",VLOOKUP('OPĆI DIO'!$C$3,'OPĆI DIO'!$L$6:$U$138,9,FALSE))</f>
        <v/>
      </c>
      <c r="C43" s="103" t="str">
        <f t="shared" si="0"/>
        <v/>
      </c>
      <c r="D43" s="59" t="str">
        <f t="shared" si="1"/>
        <v/>
      </c>
      <c r="E43" s="68"/>
      <c r="F43" s="106" t="str">
        <f t="shared" si="2"/>
        <v/>
      </c>
      <c r="G43" s="101"/>
      <c r="H43" s="101"/>
      <c r="I43" s="101"/>
      <c r="J43" s="68"/>
      <c r="L43" t="str">
        <f t="shared" si="3"/>
        <v/>
      </c>
      <c r="M43" t="str">
        <f t="shared" si="4"/>
        <v/>
      </c>
      <c r="R43" s="4">
        <v>6381</v>
      </c>
      <c r="S43" s="4" t="s">
        <v>552</v>
      </c>
      <c r="T43" s="4">
        <v>52</v>
      </c>
      <c r="U43" s="4" t="s">
        <v>510</v>
      </c>
      <c r="V43">
        <v>638</v>
      </c>
      <c r="W43">
        <v>63</v>
      </c>
    </row>
    <row r="44" spans="1:23">
      <c r="A44" s="60" t="str">
        <f>IF(E44="","",VLOOKUP('OPĆI DIO'!$C$3,'OPĆI DIO'!$L$6:$U$138,10,FALSE))</f>
        <v/>
      </c>
      <c r="B44" s="60" t="str">
        <f>IF(E44="","",VLOOKUP('OPĆI DIO'!$C$3,'OPĆI DIO'!$L$6:$U$138,9,FALSE))</f>
        <v/>
      </c>
      <c r="C44" s="103" t="str">
        <f t="shared" si="0"/>
        <v/>
      </c>
      <c r="D44" s="59" t="str">
        <f t="shared" si="1"/>
        <v/>
      </c>
      <c r="E44" s="68"/>
      <c r="F44" s="106" t="str">
        <f t="shared" si="2"/>
        <v/>
      </c>
      <c r="G44" s="101"/>
      <c r="H44" s="101"/>
      <c r="I44" s="101"/>
      <c r="J44" s="68"/>
      <c r="L44" t="str">
        <f t="shared" si="3"/>
        <v/>
      </c>
      <c r="M44" t="str">
        <f t="shared" si="4"/>
        <v/>
      </c>
      <c r="R44" s="4">
        <v>6382</v>
      </c>
      <c r="S44" s="4" t="s">
        <v>553</v>
      </c>
      <c r="T44" s="4">
        <v>52</v>
      </c>
      <c r="U44" s="4" t="s">
        <v>510</v>
      </c>
      <c r="V44">
        <v>638</v>
      </c>
      <c r="W44">
        <v>63</v>
      </c>
    </row>
    <row r="45" spans="1:23">
      <c r="A45" s="60" t="str">
        <f>IF(E45="","",VLOOKUP('OPĆI DIO'!$C$3,'OPĆI DIO'!$L$6:$U$138,10,FALSE))</f>
        <v/>
      </c>
      <c r="B45" s="60" t="str">
        <f>IF(E45="","",VLOOKUP('OPĆI DIO'!$C$3,'OPĆI DIO'!$L$6:$U$138,9,FALSE))</f>
        <v/>
      </c>
      <c r="C45" s="103" t="str">
        <f t="shared" si="0"/>
        <v/>
      </c>
      <c r="D45" s="59" t="str">
        <f t="shared" si="1"/>
        <v/>
      </c>
      <c r="E45" s="68"/>
      <c r="F45" s="106" t="str">
        <f t="shared" si="2"/>
        <v/>
      </c>
      <c r="G45" s="101"/>
      <c r="H45" s="101"/>
      <c r="I45" s="101"/>
      <c r="J45" s="68"/>
      <c r="L45" t="str">
        <f t="shared" si="3"/>
        <v/>
      </c>
      <c r="M45" t="str">
        <f t="shared" si="4"/>
        <v/>
      </c>
      <c r="R45" s="4">
        <v>6391</v>
      </c>
      <c r="S45" s="4" t="s">
        <v>554</v>
      </c>
      <c r="T45" s="4">
        <v>52</v>
      </c>
      <c r="U45" s="4" t="s">
        <v>510</v>
      </c>
      <c r="V45">
        <v>639</v>
      </c>
      <c r="W45">
        <v>63</v>
      </c>
    </row>
    <row r="46" spans="1:23">
      <c r="A46" s="60" t="str">
        <f>IF(E46="","",VLOOKUP('OPĆI DIO'!$C$3,'OPĆI DIO'!$L$6:$U$138,10,FALSE))</f>
        <v/>
      </c>
      <c r="B46" s="60" t="str">
        <f>IF(E46="","",VLOOKUP('OPĆI DIO'!$C$3,'OPĆI DIO'!$L$6:$U$138,9,FALSE))</f>
        <v/>
      </c>
      <c r="C46" s="103" t="str">
        <f t="shared" si="0"/>
        <v/>
      </c>
      <c r="D46" s="59" t="str">
        <f t="shared" si="1"/>
        <v/>
      </c>
      <c r="E46" s="68"/>
      <c r="F46" s="106" t="str">
        <f t="shared" si="2"/>
        <v/>
      </c>
      <c r="G46" s="101"/>
      <c r="H46" s="101"/>
      <c r="I46" s="101"/>
      <c r="J46" s="68"/>
      <c r="L46" t="str">
        <f t="shared" si="3"/>
        <v/>
      </c>
      <c r="M46" t="str">
        <f t="shared" si="4"/>
        <v/>
      </c>
      <c r="R46" s="4">
        <v>6392</v>
      </c>
      <c r="S46" s="4" t="s">
        <v>555</v>
      </c>
      <c r="T46" s="4">
        <v>52</v>
      </c>
      <c r="U46" s="4" t="s">
        <v>510</v>
      </c>
      <c r="V46">
        <v>639</v>
      </c>
      <c r="W46">
        <v>63</v>
      </c>
    </row>
    <row r="47" spans="1:23">
      <c r="A47" s="60" t="str">
        <f>IF(E47="","",VLOOKUP('OPĆI DIO'!$C$3,'OPĆI DIO'!$L$6:$U$138,10,FALSE))</f>
        <v/>
      </c>
      <c r="B47" s="60" t="str">
        <f>IF(E47="","",VLOOKUP('OPĆI DIO'!$C$3,'OPĆI DIO'!$L$6:$U$138,9,FALSE))</f>
        <v/>
      </c>
      <c r="C47" s="103" t="str">
        <f t="shared" si="0"/>
        <v/>
      </c>
      <c r="D47" s="59" t="str">
        <f t="shared" si="1"/>
        <v/>
      </c>
      <c r="E47" s="68"/>
      <c r="F47" s="106" t="str">
        <f t="shared" si="2"/>
        <v/>
      </c>
      <c r="G47" s="101"/>
      <c r="H47" s="101"/>
      <c r="I47" s="101"/>
      <c r="J47" s="68"/>
      <c r="L47" t="str">
        <f t="shared" si="3"/>
        <v/>
      </c>
      <c r="M47" t="str">
        <f t="shared" si="4"/>
        <v/>
      </c>
      <c r="R47" s="4">
        <v>6393</v>
      </c>
      <c r="S47" s="4" t="s">
        <v>556</v>
      </c>
      <c r="T47" s="4">
        <v>52</v>
      </c>
      <c r="U47" s="4" t="s">
        <v>510</v>
      </c>
      <c r="V47">
        <v>639</v>
      </c>
      <c r="W47">
        <v>63</v>
      </c>
    </row>
    <row r="48" spans="1:23">
      <c r="A48" s="60" t="str">
        <f>IF(E48="","",VLOOKUP('OPĆI DIO'!$C$3,'OPĆI DIO'!$L$6:$U$138,10,FALSE))</f>
        <v/>
      </c>
      <c r="B48" s="60" t="str">
        <f>IF(E48="","",VLOOKUP('OPĆI DIO'!$C$3,'OPĆI DIO'!$L$6:$U$138,9,FALSE))</f>
        <v/>
      </c>
      <c r="C48" s="103" t="str">
        <f t="shared" si="0"/>
        <v/>
      </c>
      <c r="D48" s="59" t="str">
        <f t="shared" si="1"/>
        <v/>
      </c>
      <c r="E48" s="68"/>
      <c r="F48" s="106" t="str">
        <f t="shared" si="2"/>
        <v/>
      </c>
      <c r="G48" s="101"/>
      <c r="H48" s="101"/>
      <c r="I48" s="101"/>
      <c r="J48" s="68"/>
      <c r="L48" t="str">
        <f t="shared" si="3"/>
        <v/>
      </c>
      <c r="M48" t="str">
        <f t="shared" si="4"/>
        <v/>
      </c>
      <c r="R48" s="4">
        <v>6394</v>
      </c>
      <c r="S48" s="4" t="s">
        <v>557</v>
      </c>
      <c r="T48" s="4">
        <v>52</v>
      </c>
      <c r="U48" s="4" t="s">
        <v>510</v>
      </c>
      <c r="V48">
        <v>639</v>
      </c>
      <c r="W48">
        <v>63</v>
      </c>
    </row>
    <row r="49" spans="1:23">
      <c r="A49" s="60" t="str">
        <f>IF(E49="","",VLOOKUP('OPĆI DIO'!$C$3,'OPĆI DIO'!$L$6:$U$138,10,FALSE))</f>
        <v/>
      </c>
      <c r="B49" s="60" t="str">
        <f>IF(E49="","",VLOOKUP('OPĆI DIO'!$C$3,'OPĆI DIO'!$L$6:$U$138,9,FALSE))</f>
        <v/>
      </c>
      <c r="C49" s="103" t="str">
        <f t="shared" si="0"/>
        <v/>
      </c>
      <c r="D49" s="59" t="str">
        <f t="shared" si="1"/>
        <v/>
      </c>
      <c r="E49" s="68"/>
      <c r="F49" s="106" t="str">
        <f t="shared" si="2"/>
        <v/>
      </c>
      <c r="G49" s="101"/>
      <c r="H49" s="101"/>
      <c r="I49" s="101"/>
      <c r="J49" s="68"/>
      <c r="L49" t="str">
        <f t="shared" si="3"/>
        <v/>
      </c>
      <c r="M49" t="str">
        <f t="shared" si="4"/>
        <v/>
      </c>
      <c r="R49" s="4">
        <v>641290031</v>
      </c>
      <c r="S49" s="4" t="s">
        <v>558</v>
      </c>
      <c r="T49" s="4">
        <v>31</v>
      </c>
      <c r="U49" s="4" t="s">
        <v>500</v>
      </c>
      <c r="V49">
        <v>641</v>
      </c>
      <c r="W49">
        <v>64</v>
      </c>
    </row>
    <row r="50" spans="1:23">
      <c r="A50" s="60" t="str">
        <f>IF(E50="","",VLOOKUP('OPĆI DIO'!$C$3,'OPĆI DIO'!$L$6:$U$138,10,FALSE))</f>
        <v/>
      </c>
      <c r="B50" s="60" t="str">
        <f>IF(E50="","",VLOOKUP('OPĆI DIO'!$C$3,'OPĆI DIO'!$L$6:$U$138,9,FALSE))</f>
        <v/>
      </c>
      <c r="C50" s="103" t="str">
        <f t="shared" si="0"/>
        <v/>
      </c>
      <c r="D50" s="59" t="str">
        <f t="shared" si="1"/>
        <v/>
      </c>
      <c r="E50" s="68"/>
      <c r="F50" s="106" t="str">
        <f t="shared" si="2"/>
        <v/>
      </c>
      <c r="G50" s="101"/>
      <c r="H50" s="101"/>
      <c r="I50" s="101"/>
      <c r="J50" s="68"/>
      <c r="L50" t="str">
        <f t="shared" si="3"/>
        <v/>
      </c>
      <c r="M50" t="str">
        <f t="shared" si="4"/>
        <v/>
      </c>
      <c r="R50" s="4">
        <v>641310031</v>
      </c>
      <c r="S50" s="4" t="s">
        <v>559</v>
      </c>
      <c r="T50" s="4">
        <v>31</v>
      </c>
      <c r="U50" s="4" t="s">
        <v>500</v>
      </c>
      <c r="V50">
        <v>641</v>
      </c>
      <c r="W50">
        <v>64</v>
      </c>
    </row>
    <row r="51" spans="1:23">
      <c r="A51" s="60" t="str">
        <f>IF(E51="","",VLOOKUP('OPĆI DIO'!$C$3,'OPĆI DIO'!$L$6:$U$138,10,FALSE))</f>
        <v/>
      </c>
      <c r="B51" s="60" t="str">
        <f>IF(E51="","",VLOOKUP('OPĆI DIO'!$C$3,'OPĆI DIO'!$L$6:$U$138,9,FALSE))</f>
        <v/>
      </c>
      <c r="C51" s="103" t="str">
        <f t="shared" si="0"/>
        <v/>
      </c>
      <c r="D51" s="59" t="str">
        <f t="shared" si="1"/>
        <v/>
      </c>
      <c r="E51" s="68"/>
      <c r="F51" s="106" t="str">
        <f t="shared" si="2"/>
        <v/>
      </c>
      <c r="G51" s="101"/>
      <c r="H51" s="101"/>
      <c r="I51" s="101"/>
      <c r="J51" s="68"/>
      <c r="L51" t="str">
        <f t="shared" si="3"/>
        <v/>
      </c>
      <c r="M51" t="str">
        <f t="shared" si="4"/>
        <v/>
      </c>
      <c r="R51" s="4">
        <v>641320031</v>
      </c>
      <c r="S51" s="4" t="s">
        <v>560</v>
      </c>
      <c r="T51" s="4">
        <v>31</v>
      </c>
      <c r="U51" s="4" t="s">
        <v>500</v>
      </c>
      <c r="V51">
        <v>641</v>
      </c>
      <c r="W51">
        <v>64</v>
      </c>
    </row>
    <row r="52" spans="1:23">
      <c r="A52" s="60" t="str">
        <f>IF(E52="","",VLOOKUP('OPĆI DIO'!$C$3,'OPĆI DIO'!$L$6:$U$138,10,FALSE))</f>
        <v/>
      </c>
      <c r="B52" s="60" t="str">
        <f>IF(E52="","",VLOOKUP('OPĆI DIO'!$C$3,'OPĆI DIO'!$L$6:$U$138,9,FALSE))</f>
        <v/>
      </c>
      <c r="C52" s="103" t="str">
        <f t="shared" si="0"/>
        <v/>
      </c>
      <c r="D52" s="59" t="str">
        <f t="shared" si="1"/>
        <v/>
      </c>
      <c r="E52" s="68"/>
      <c r="F52" s="106" t="str">
        <f t="shared" si="2"/>
        <v/>
      </c>
      <c r="G52" s="101"/>
      <c r="H52" s="101"/>
      <c r="I52" s="101"/>
      <c r="J52" s="68"/>
      <c r="L52" t="str">
        <f t="shared" si="3"/>
        <v/>
      </c>
      <c r="M52" t="str">
        <f t="shared" si="4"/>
        <v/>
      </c>
      <c r="R52" s="4">
        <v>641320043</v>
      </c>
      <c r="S52" s="4" t="s">
        <v>561</v>
      </c>
      <c r="T52" s="4">
        <v>43</v>
      </c>
      <c r="U52" s="4" t="s">
        <v>505</v>
      </c>
      <c r="V52">
        <v>641</v>
      </c>
      <c r="W52">
        <v>64</v>
      </c>
    </row>
    <row r="53" spans="1:23">
      <c r="A53" s="60" t="str">
        <f>IF(E53="","",VLOOKUP('OPĆI DIO'!$C$3,'OPĆI DIO'!$L$6:$U$138,10,FALSE))</f>
        <v/>
      </c>
      <c r="B53" s="60" t="str">
        <f>IF(E53="","",VLOOKUP('OPĆI DIO'!$C$3,'OPĆI DIO'!$L$6:$U$138,9,FALSE))</f>
        <v/>
      </c>
      <c r="C53" s="103" t="str">
        <f t="shared" si="0"/>
        <v/>
      </c>
      <c r="D53" s="59" t="str">
        <f t="shared" si="1"/>
        <v/>
      </c>
      <c r="E53" s="68"/>
      <c r="F53" s="106" t="str">
        <f t="shared" si="2"/>
        <v/>
      </c>
      <c r="G53" s="101"/>
      <c r="H53" s="101"/>
      <c r="I53" s="101"/>
      <c r="J53" s="68"/>
      <c r="L53" t="str">
        <f t="shared" si="3"/>
        <v/>
      </c>
      <c r="M53" t="str">
        <f t="shared" si="4"/>
        <v/>
      </c>
      <c r="R53" s="4">
        <v>641510031</v>
      </c>
      <c r="S53" s="4" t="s">
        <v>562</v>
      </c>
      <c r="T53" s="4">
        <v>31</v>
      </c>
      <c r="U53" s="4" t="s">
        <v>500</v>
      </c>
      <c r="V53">
        <v>641</v>
      </c>
      <c r="W53">
        <v>64</v>
      </c>
    </row>
    <row r="54" spans="1:23">
      <c r="A54" s="60" t="str">
        <f>IF(E54="","",VLOOKUP('OPĆI DIO'!$C$3,'OPĆI DIO'!$L$6:$U$138,10,FALSE))</f>
        <v/>
      </c>
      <c r="B54" s="60" t="str">
        <f>IF(E54="","",VLOOKUP('OPĆI DIO'!$C$3,'OPĆI DIO'!$L$6:$U$138,9,FALSE))</f>
        <v/>
      </c>
      <c r="C54" s="103" t="str">
        <f t="shared" si="0"/>
        <v/>
      </c>
      <c r="D54" s="59" t="str">
        <f t="shared" si="1"/>
        <v/>
      </c>
      <c r="E54" s="68"/>
      <c r="F54" s="106" t="str">
        <f t="shared" si="2"/>
        <v/>
      </c>
      <c r="G54" s="101"/>
      <c r="H54" s="101"/>
      <c r="I54" s="101"/>
      <c r="J54" s="68"/>
      <c r="L54" t="str">
        <f t="shared" si="3"/>
        <v/>
      </c>
      <c r="M54" t="str">
        <f t="shared" si="4"/>
        <v/>
      </c>
      <c r="R54" s="4">
        <v>641510043</v>
      </c>
      <c r="S54" s="4" t="s">
        <v>563</v>
      </c>
      <c r="T54" s="4">
        <v>43</v>
      </c>
      <c r="U54" s="4" t="s">
        <v>505</v>
      </c>
      <c r="V54">
        <v>641</v>
      </c>
      <c r="W54">
        <v>64</v>
      </c>
    </row>
    <row r="55" spans="1:23">
      <c r="A55" s="60" t="str">
        <f>IF(E55="","",VLOOKUP('OPĆI DIO'!$C$3,'OPĆI DIO'!$L$6:$U$138,10,FALSE))</f>
        <v/>
      </c>
      <c r="B55" s="60" t="str">
        <f>IF(E55="","",VLOOKUP('OPĆI DIO'!$C$3,'OPĆI DIO'!$L$6:$U$138,9,FALSE))</f>
        <v/>
      </c>
      <c r="C55" s="103" t="str">
        <f t="shared" si="0"/>
        <v/>
      </c>
      <c r="D55" s="59" t="str">
        <f t="shared" si="1"/>
        <v/>
      </c>
      <c r="E55" s="68"/>
      <c r="F55" s="106" t="str">
        <f t="shared" si="2"/>
        <v/>
      </c>
      <c r="G55" s="101"/>
      <c r="H55" s="101"/>
      <c r="I55" s="101"/>
      <c r="J55" s="68"/>
      <c r="L55" t="str">
        <f t="shared" si="3"/>
        <v/>
      </c>
      <c r="M55" t="str">
        <f t="shared" si="4"/>
        <v/>
      </c>
      <c r="R55" s="4">
        <v>641630031</v>
      </c>
      <c r="S55" s="4" t="s">
        <v>564</v>
      </c>
      <c r="T55" s="4">
        <v>31</v>
      </c>
      <c r="U55" s="4" t="s">
        <v>500</v>
      </c>
      <c r="V55">
        <v>641</v>
      </c>
      <c r="W55">
        <v>64</v>
      </c>
    </row>
    <row r="56" spans="1:23">
      <c r="A56" s="60" t="str">
        <f>IF(E56="","",VLOOKUP('OPĆI DIO'!$C$3,'OPĆI DIO'!$L$6:$U$138,10,FALSE))</f>
        <v/>
      </c>
      <c r="B56" s="60" t="str">
        <f>IF(E56="","",VLOOKUP('OPĆI DIO'!$C$3,'OPĆI DIO'!$L$6:$U$138,9,FALSE))</f>
        <v/>
      </c>
      <c r="C56" s="103" t="str">
        <f t="shared" si="0"/>
        <v/>
      </c>
      <c r="D56" s="59" t="str">
        <f t="shared" si="1"/>
        <v/>
      </c>
      <c r="E56" s="68"/>
      <c r="F56" s="106" t="str">
        <f t="shared" si="2"/>
        <v/>
      </c>
      <c r="G56" s="101"/>
      <c r="H56" s="101"/>
      <c r="I56" s="101"/>
      <c r="J56" s="68"/>
      <c r="L56" t="str">
        <f t="shared" si="3"/>
        <v/>
      </c>
      <c r="M56" t="str">
        <f t="shared" si="4"/>
        <v/>
      </c>
      <c r="R56" s="4">
        <v>641720043</v>
      </c>
      <c r="S56" s="4" t="s">
        <v>565</v>
      </c>
      <c r="T56" s="4">
        <v>43</v>
      </c>
      <c r="U56" s="4" t="s">
        <v>505</v>
      </c>
      <c r="V56">
        <v>641</v>
      </c>
      <c r="W56">
        <v>64</v>
      </c>
    </row>
    <row r="57" spans="1:23">
      <c r="A57" s="60" t="str">
        <f>IF(E57="","",VLOOKUP('OPĆI DIO'!$C$3,'OPĆI DIO'!$L$6:$U$138,10,FALSE))</f>
        <v/>
      </c>
      <c r="B57" s="60" t="str">
        <f>IF(E57="","",VLOOKUP('OPĆI DIO'!$C$3,'OPĆI DIO'!$L$6:$U$138,9,FALSE))</f>
        <v/>
      </c>
      <c r="C57" s="103" t="str">
        <f t="shared" si="0"/>
        <v/>
      </c>
      <c r="D57" s="59" t="str">
        <f t="shared" si="1"/>
        <v/>
      </c>
      <c r="E57" s="68"/>
      <c r="F57" s="106" t="str">
        <f t="shared" si="2"/>
        <v/>
      </c>
      <c r="G57" s="101"/>
      <c r="H57" s="101"/>
      <c r="I57" s="101"/>
      <c r="J57" s="68"/>
      <c r="L57" t="str">
        <f t="shared" si="3"/>
        <v/>
      </c>
      <c r="M57" t="str">
        <f t="shared" si="4"/>
        <v/>
      </c>
      <c r="R57" s="4">
        <v>641770041</v>
      </c>
      <c r="S57" s="4" t="s">
        <v>566</v>
      </c>
      <c r="T57" s="4">
        <v>41</v>
      </c>
      <c r="U57" s="4" t="s">
        <v>502</v>
      </c>
      <c r="V57">
        <v>641</v>
      </c>
      <c r="W57">
        <v>64</v>
      </c>
    </row>
    <row r="58" spans="1:23">
      <c r="A58" s="60" t="str">
        <f>IF(E58="","",VLOOKUP('OPĆI DIO'!$C$3,'OPĆI DIO'!$L$6:$U$138,10,FALSE))</f>
        <v/>
      </c>
      <c r="B58" s="60" t="str">
        <f>IF(E58="","",VLOOKUP('OPĆI DIO'!$C$3,'OPĆI DIO'!$L$6:$U$138,9,FALSE))</f>
        <v/>
      </c>
      <c r="C58" s="103" t="str">
        <f t="shared" si="0"/>
        <v/>
      </c>
      <c r="D58" s="59" t="str">
        <f t="shared" si="1"/>
        <v/>
      </c>
      <c r="E58" s="68"/>
      <c r="F58" s="106" t="str">
        <f t="shared" si="2"/>
        <v/>
      </c>
      <c r="G58" s="101"/>
      <c r="H58" s="101"/>
      <c r="I58" s="101"/>
      <c r="J58" s="68"/>
      <c r="L58" t="str">
        <f t="shared" si="3"/>
        <v/>
      </c>
      <c r="M58" t="str">
        <f t="shared" si="4"/>
        <v/>
      </c>
      <c r="R58" s="4">
        <v>641990043</v>
      </c>
      <c r="S58" s="4" t="s">
        <v>567</v>
      </c>
      <c r="T58" s="4">
        <v>43</v>
      </c>
      <c r="U58" s="4" t="s">
        <v>505</v>
      </c>
      <c r="V58">
        <v>641</v>
      </c>
      <c r="W58">
        <v>64</v>
      </c>
    </row>
    <row r="59" spans="1:23">
      <c r="A59" s="60" t="str">
        <f>IF(E59="","",VLOOKUP('OPĆI DIO'!$C$3,'OPĆI DIO'!$L$6:$U$138,10,FALSE))</f>
        <v/>
      </c>
      <c r="B59" s="60" t="str">
        <f>IF(E59="","",VLOOKUP('OPĆI DIO'!$C$3,'OPĆI DIO'!$L$6:$U$138,9,FALSE))</f>
        <v/>
      </c>
      <c r="C59" s="103" t="str">
        <f t="shared" si="0"/>
        <v/>
      </c>
      <c r="D59" s="59" t="str">
        <f t="shared" si="1"/>
        <v/>
      </c>
      <c r="E59" s="68"/>
      <c r="F59" s="106" t="str">
        <f t="shared" si="2"/>
        <v/>
      </c>
      <c r="G59" s="101"/>
      <c r="H59" s="101"/>
      <c r="I59" s="101"/>
      <c r="J59" s="68"/>
      <c r="L59" t="str">
        <f t="shared" si="3"/>
        <v/>
      </c>
      <c r="M59" t="str">
        <f t="shared" si="4"/>
        <v/>
      </c>
      <c r="R59" s="4">
        <v>642510031</v>
      </c>
      <c r="S59" s="4" t="s">
        <v>568</v>
      </c>
      <c r="T59" s="4">
        <v>31</v>
      </c>
      <c r="U59" s="4" t="s">
        <v>500</v>
      </c>
      <c r="V59">
        <v>642</v>
      </c>
      <c r="W59">
        <v>64</v>
      </c>
    </row>
    <row r="60" spans="1:23">
      <c r="A60" s="60" t="str">
        <f>IF(E60="","",VLOOKUP('OPĆI DIO'!$C$3,'OPĆI DIO'!$L$6:$U$138,10,FALSE))</f>
        <v>08006</v>
      </c>
      <c r="B60" s="60" t="str">
        <f>IF(E60="","",VLOOKUP('OPĆI DIO'!$C$3,'OPĆI DIO'!$L$6:$U$138,9,FALSE))</f>
        <v>Sveučilišta i veleučilišta u Republici Hrvatskoj</v>
      </c>
      <c r="C60" s="103">
        <f t="shared" si="0"/>
        <v>11</v>
      </c>
      <c r="D60" s="59" t="str">
        <f t="shared" si="1"/>
        <v>Opći prihodi i primici</v>
      </c>
      <c r="E60" s="68" t="s">
        <v>485</v>
      </c>
      <c r="F60" s="106" t="str">
        <f t="shared" si="2"/>
        <v>Prihodi iz nadležnog proračuna za financiranje redovne djelatnosti proračunskih korisnika</v>
      </c>
      <c r="G60" s="101"/>
      <c r="H60" s="101"/>
      <c r="I60" s="101"/>
      <c r="J60" s="68"/>
      <c r="L60" t="str">
        <f t="shared" si="3"/>
        <v>67</v>
      </c>
      <c r="M60" t="str">
        <f t="shared" si="4"/>
        <v>671</v>
      </c>
      <c r="R60" s="4">
        <v>642990031</v>
      </c>
      <c r="S60" s="4" t="s">
        <v>569</v>
      </c>
      <c r="T60" s="4">
        <v>31</v>
      </c>
      <c r="U60" s="4" t="s">
        <v>500</v>
      </c>
      <c r="V60">
        <v>642</v>
      </c>
      <c r="W60">
        <v>64</v>
      </c>
    </row>
    <row r="61" spans="1:23">
      <c r="A61" s="60" t="str">
        <f>IF(E61="","",VLOOKUP('OPĆI DIO'!$C$3,'OPĆI DIO'!$L$6:$U$138,10,FALSE))</f>
        <v>08006</v>
      </c>
      <c r="B61" s="60" t="str">
        <f>IF(E61="","",VLOOKUP('OPĆI DIO'!$C$3,'OPĆI DIO'!$L$6:$U$138,9,FALSE))</f>
        <v>Sveučilišta i veleučilišta u Republici Hrvatskoj</v>
      </c>
      <c r="C61" s="103">
        <f t="shared" si="0"/>
        <v>41</v>
      </c>
      <c r="D61" s="59" t="str">
        <f t="shared" si="1"/>
        <v>Prihodi od igara na sreću</v>
      </c>
      <c r="E61" s="68">
        <v>614830041</v>
      </c>
      <c r="F61" s="106" t="str">
        <f t="shared" si="2"/>
        <v>Naknade za priređivanje klađenja, izvor 41</v>
      </c>
      <c r="G61" s="101"/>
      <c r="H61" s="101"/>
      <c r="I61" s="101"/>
      <c r="J61" s="68"/>
      <c r="L61" t="str">
        <f t="shared" si="3"/>
        <v>61</v>
      </c>
      <c r="M61" t="str">
        <f t="shared" si="4"/>
        <v>614</v>
      </c>
      <c r="R61" s="4">
        <v>65148</v>
      </c>
      <c r="S61" s="4" t="s">
        <v>570</v>
      </c>
      <c r="T61" s="4">
        <v>43</v>
      </c>
      <c r="U61" s="4" t="s">
        <v>505</v>
      </c>
      <c r="V61">
        <v>651</v>
      </c>
      <c r="W61">
        <v>65</v>
      </c>
    </row>
    <row r="62" spans="1:23">
      <c r="A62" s="60" t="str">
        <f>IF(E62="","",VLOOKUP('OPĆI DIO'!$C$3,'OPĆI DIO'!$L$6:$U$138,10,FALSE))</f>
        <v>08006</v>
      </c>
      <c r="B62" s="60" t="str">
        <f>IF(E62="","",VLOOKUP('OPĆI DIO'!$C$3,'OPĆI DIO'!$L$6:$U$138,9,FALSE))</f>
        <v>Sveučilišta i veleučilišta u Republici Hrvatskoj</v>
      </c>
      <c r="C62" s="103">
        <f t="shared" si="0"/>
        <v>43</v>
      </c>
      <c r="D62" s="59" t="str">
        <f t="shared" si="1"/>
        <v>Ostali prihodi za posebne namjene</v>
      </c>
      <c r="E62" s="68">
        <v>641990043</v>
      </c>
      <c r="F62" s="106" t="str">
        <f t="shared" si="2"/>
        <v>Ostali prihodi od financijske imovine izvor 43</v>
      </c>
      <c r="G62" s="101"/>
      <c r="H62" s="101"/>
      <c r="I62" s="101"/>
      <c r="J62" s="68"/>
      <c r="L62" t="str">
        <f t="shared" si="3"/>
        <v>64</v>
      </c>
      <c r="M62" t="str">
        <f t="shared" si="4"/>
        <v>641</v>
      </c>
      <c r="R62" s="4">
        <v>65218</v>
      </c>
      <c r="S62" s="4" t="s">
        <v>571</v>
      </c>
      <c r="T62" s="4">
        <v>43</v>
      </c>
      <c r="U62" s="4" t="s">
        <v>505</v>
      </c>
      <c r="V62">
        <v>652</v>
      </c>
      <c r="W62">
        <v>65</v>
      </c>
    </row>
    <row r="63" spans="1:23">
      <c r="A63" s="60" t="str">
        <f>IF(E63="","",VLOOKUP('OPĆI DIO'!$C$3,'OPĆI DIO'!$L$6:$U$138,10,FALSE))</f>
        <v/>
      </c>
      <c r="B63" s="60" t="str">
        <f>IF(E63="","",VLOOKUP('OPĆI DIO'!$C$3,'OPĆI DIO'!$L$6:$U$138,9,FALSE))</f>
        <v/>
      </c>
      <c r="C63" s="103" t="str">
        <f t="shared" si="0"/>
        <v/>
      </c>
      <c r="D63" s="59" t="str">
        <f t="shared" si="1"/>
        <v/>
      </c>
      <c r="E63" s="68"/>
      <c r="F63" s="106" t="str">
        <f t="shared" si="2"/>
        <v/>
      </c>
      <c r="G63" s="101"/>
      <c r="H63" s="101"/>
      <c r="I63" s="101"/>
      <c r="J63" s="68"/>
      <c r="L63" t="str">
        <f t="shared" si="3"/>
        <v/>
      </c>
      <c r="M63" t="str">
        <f t="shared" si="4"/>
        <v/>
      </c>
      <c r="R63" s="4">
        <v>65264</v>
      </c>
      <c r="S63" s="4" t="s">
        <v>572</v>
      </c>
      <c r="T63" s="4">
        <v>43</v>
      </c>
      <c r="U63" s="4" t="s">
        <v>505</v>
      </c>
      <c r="V63">
        <v>652</v>
      </c>
      <c r="W63">
        <v>65</v>
      </c>
    </row>
    <row r="64" spans="1:23">
      <c r="A64" s="60" t="str">
        <f>IF(E64="","",VLOOKUP('OPĆI DIO'!$C$3,'OPĆI DIO'!$L$6:$U$138,10,FALSE))</f>
        <v/>
      </c>
      <c r="B64" s="60" t="str">
        <f>IF(E64="","",VLOOKUP('OPĆI DIO'!$C$3,'OPĆI DIO'!$L$6:$U$138,9,FALSE))</f>
        <v/>
      </c>
      <c r="C64" s="103" t="str">
        <f t="shared" si="0"/>
        <v/>
      </c>
      <c r="D64" s="59" t="str">
        <f t="shared" si="1"/>
        <v/>
      </c>
      <c r="E64" s="68"/>
      <c r="F64" s="106" t="str">
        <f t="shared" si="2"/>
        <v/>
      </c>
      <c r="G64" s="101"/>
      <c r="H64" s="101"/>
      <c r="I64" s="101"/>
      <c r="J64" s="68"/>
      <c r="L64" t="str">
        <f t="shared" si="3"/>
        <v/>
      </c>
      <c r="M64" t="str">
        <f t="shared" si="4"/>
        <v/>
      </c>
      <c r="R64" s="4">
        <v>652670043</v>
      </c>
      <c r="S64" s="4" t="s">
        <v>573</v>
      </c>
      <c r="T64" s="4">
        <v>43</v>
      </c>
      <c r="U64" s="4" t="s">
        <v>505</v>
      </c>
      <c r="V64">
        <v>652</v>
      </c>
      <c r="W64">
        <v>65</v>
      </c>
    </row>
    <row r="65" spans="1:23">
      <c r="A65" s="60" t="str">
        <f>IF(E65="","",VLOOKUP('OPĆI DIO'!$C$3,'OPĆI DIO'!$L$6:$U$138,10,FALSE))</f>
        <v/>
      </c>
      <c r="B65" s="60" t="str">
        <f>IF(E65="","",VLOOKUP('OPĆI DIO'!$C$3,'OPĆI DIO'!$L$6:$U$138,9,FALSE))</f>
        <v/>
      </c>
      <c r="C65" s="103" t="str">
        <f t="shared" si="0"/>
        <v/>
      </c>
      <c r="D65" s="59" t="str">
        <f t="shared" si="1"/>
        <v/>
      </c>
      <c r="E65" s="68"/>
      <c r="F65" s="106" t="str">
        <f t="shared" si="2"/>
        <v/>
      </c>
      <c r="G65" s="101"/>
      <c r="H65" s="101"/>
      <c r="I65" s="101"/>
      <c r="J65" s="68"/>
      <c r="L65" t="str">
        <f t="shared" si="3"/>
        <v/>
      </c>
      <c r="M65" t="str">
        <f t="shared" si="4"/>
        <v/>
      </c>
      <c r="R65" s="4">
        <v>652670071</v>
      </c>
      <c r="S65" s="4" t="s">
        <v>574</v>
      </c>
      <c r="T65" s="4">
        <v>71</v>
      </c>
      <c r="U65" s="4" t="s">
        <v>531</v>
      </c>
      <c r="V65">
        <v>652</v>
      </c>
      <c r="W65">
        <v>65</v>
      </c>
    </row>
    <row r="66" spans="1:23">
      <c r="A66" s="60" t="str">
        <f>IF(E66="","",VLOOKUP('OPĆI DIO'!$C$3,'OPĆI DIO'!$L$6:$U$138,10,FALSE))</f>
        <v/>
      </c>
      <c r="B66" s="60" t="str">
        <f>IF(E66="","",VLOOKUP('OPĆI DIO'!$C$3,'OPĆI DIO'!$L$6:$U$138,9,FALSE))</f>
        <v/>
      </c>
      <c r="C66" s="103" t="str">
        <f t="shared" si="0"/>
        <v/>
      </c>
      <c r="D66" s="59" t="str">
        <f t="shared" si="1"/>
        <v/>
      </c>
      <c r="E66" s="68"/>
      <c r="F66" s="106" t="str">
        <f t="shared" si="2"/>
        <v/>
      </c>
      <c r="G66" s="101"/>
      <c r="H66" s="101"/>
      <c r="I66" s="101"/>
      <c r="J66" s="68"/>
      <c r="L66" t="str">
        <f t="shared" si="3"/>
        <v/>
      </c>
      <c r="M66" t="str">
        <f t="shared" si="4"/>
        <v/>
      </c>
      <c r="R66" s="4">
        <v>65268</v>
      </c>
      <c r="S66" s="4" t="s">
        <v>575</v>
      </c>
      <c r="T66" s="4">
        <v>43</v>
      </c>
      <c r="U66" s="4" t="s">
        <v>505</v>
      </c>
      <c r="V66">
        <v>652</v>
      </c>
      <c r="W66">
        <v>65</v>
      </c>
    </row>
    <row r="67" spans="1:23">
      <c r="A67" s="60" t="str">
        <f>IF(E67="","",VLOOKUP('OPĆI DIO'!$C$3,'OPĆI DIO'!$L$6:$U$138,10,FALSE))</f>
        <v/>
      </c>
      <c r="B67" s="60" t="str">
        <f>IF(E67="","",VLOOKUP('OPĆI DIO'!$C$3,'OPĆI DIO'!$L$6:$U$138,9,FALSE))</f>
        <v/>
      </c>
      <c r="C67" s="103" t="str">
        <f t="shared" ref="C67:C130" si="5">IFERROR(VLOOKUP(E67,$R$6:$U$113,3,FALSE),"")</f>
        <v/>
      </c>
      <c r="D67" s="59" t="str">
        <f t="shared" ref="D67:D130" si="6">IFERROR(VLOOKUP(E67,$R$6:$U$113,4,FALSE),"")</f>
        <v/>
      </c>
      <c r="E67" s="68"/>
      <c r="F67" s="106" t="str">
        <f t="shared" ref="F67:F130" si="7">IFERROR(VLOOKUP(E67,$R$6:$U$113,2,FALSE),"")</f>
        <v/>
      </c>
      <c r="G67" s="101"/>
      <c r="H67" s="101"/>
      <c r="I67" s="101"/>
      <c r="J67" s="68"/>
      <c r="L67" t="str">
        <f t="shared" si="3"/>
        <v/>
      </c>
      <c r="M67" t="str">
        <f t="shared" si="4"/>
        <v/>
      </c>
      <c r="R67" s="4">
        <v>6614</v>
      </c>
      <c r="S67" s="4" t="s">
        <v>576</v>
      </c>
      <c r="T67" s="4">
        <v>31</v>
      </c>
      <c r="U67" s="4" t="s">
        <v>500</v>
      </c>
      <c r="V67">
        <v>661</v>
      </c>
      <c r="W67">
        <v>66</v>
      </c>
    </row>
    <row r="68" spans="1:23">
      <c r="A68" s="60" t="str">
        <f>IF(E68="","",VLOOKUP('OPĆI DIO'!$C$3,'OPĆI DIO'!$L$6:$U$138,10,FALSE))</f>
        <v/>
      </c>
      <c r="B68" s="60" t="str">
        <f>IF(E68="","",VLOOKUP('OPĆI DIO'!$C$3,'OPĆI DIO'!$L$6:$U$138,9,FALSE))</f>
        <v/>
      </c>
      <c r="C68" s="103" t="str">
        <f t="shared" si="5"/>
        <v/>
      </c>
      <c r="D68" s="59" t="str">
        <f t="shared" si="6"/>
        <v/>
      </c>
      <c r="E68" s="68"/>
      <c r="F68" s="106" t="str">
        <f t="shared" si="7"/>
        <v/>
      </c>
      <c r="G68" s="101"/>
      <c r="H68" s="101"/>
      <c r="I68" s="101"/>
      <c r="J68" s="68"/>
      <c r="L68" t="str">
        <f t="shared" ref="L68:L131" si="8">LEFT(E68,2)</f>
        <v/>
      </c>
      <c r="M68" t="str">
        <f t="shared" ref="M68:M131" si="9">LEFT(E68,3)</f>
        <v/>
      </c>
      <c r="R68" s="4">
        <v>6615</v>
      </c>
      <c r="S68" s="4" t="s">
        <v>577</v>
      </c>
      <c r="T68" s="4">
        <v>31</v>
      </c>
      <c r="U68" s="4" t="s">
        <v>500</v>
      </c>
      <c r="V68">
        <v>661</v>
      </c>
      <c r="W68">
        <v>66</v>
      </c>
    </row>
    <row r="69" spans="1:23">
      <c r="A69" s="60" t="str">
        <f>IF(E69="","",VLOOKUP('OPĆI DIO'!$C$3,'OPĆI DIO'!$L$6:$U$138,10,FALSE))</f>
        <v/>
      </c>
      <c r="B69" s="60" t="str">
        <f>IF(E69="","",VLOOKUP('OPĆI DIO'!$C$3,'OPĆI DIO'!$L$6:$U$138,9,FALSE))</f>
        <v/>
      </c>
      <c r="C69" s="103" t="str">
        <f t="shared" si="5"/>
        <v/>
      </c>
      <c r="D69" s="59" t="str">
        <f t="shared" si="6"/>
        <v/>
      </c>
      <c r="E69" s="68"/>
      <c r="F69" s="106" t="str">
        <f t="shared" si="7"/>
        <v/>
      </c>
      <c r="G69" s="101"/>
      <c r="H69" s="101"/>
      <c r="I69" s="101"/>
      <c r="J69" s="68"/>
      <c r="L69" t="str">
        <f t="shared" si="8"/>
        <v/>
      </c>
      <c r="M69" t="str">
        <f t="shared" si="9"/>
        <v/>
      </c>
      <c r="R69" s="4">
        <v>663110000</v>
      </c>
      <c r="S69" s="4" t="s">
        <v>578</v>
      </c>
      <c r="T69" s="4">
        <v>61</v>
      </c>
      <c r="U69" s="4" t="s">
        <v>579</v>
      </c>
      <c r="V69">
        <v>663</v>
      </c>
      <c r="W69">
        <v>66</v>
      </c>
    </row>
    <row r="70" spans="1:23">
      <c r="A70" s="60" t="str">
        <f>IF(E70="","",VLOOKUP('OPĆI DIO'!$C$3,'OPĆI DIO'!$L$6:$U$138,10,FALSE))</f>
        <v/>
      </c>
      <c r="B70" s="60" t="str">
        <f>IF(E70="","",VLOOKUP('OPĆI DIO'!$C$3,'OPĆI DIO'!$L$6:$U$138,9,FALSE))</f>
        <v/>
      </c>
      <c r="C70" s="103" t="str">
        <f t="shared" si="5"/>
        <v/>
      </c>
      <c r="D70" s="59" t="str">
        <f t="shared" si="6"/>
        <v/>
      </c>
      <c r="E70" s="68"/>
      <c r="F70" s="106" t="str">
        <f t="shared" si="7"/>
        <v/>
      </c>
      <c r="G70" s="101"/>
      <c r="H70" s="101"/>
      <c r="I70" s="101"/>
      <c r="J70" s="68"/>
      <c r="L70" t="str">
        <f t="shared" si="8"/>
        <v/>
      </c>
      <c r="M70" t="str">
        <f t="shared" si="9"/>
        <v/>
      </c>
      <c r="R70" s="4">
        <v>663120000</v>
      </c>
      <c r="S70" s="4" t="s">
        <v>580</v>
      </c>
      <c r="T70" s="4">
        <v>61</v>
      </c>
      <c r="U70" s="4" t="s">
        <v>579</v>
      </c>
      <c r="V70">
        <v>663</v>
      </c>
      <c r="W70">
        <v>66</v>
      </c>
    </row>
    <row r="71" spans="1:23">
      <c r="A71" s="60" t="str">
        <f>IF(E71="","",VLOOKUP('OPĆI DIO'!$C$3,'OPĆI DIO'!$L$6:$U$138,10,FALSE))</f>
        <v/>
      </c>
      <c r="B71" s="60" t="str">
        <f>IF(E71="","",VLOOKUP('OPĆI DIO'!$C$3,'OPĆI DIO'!$L$6:$U$138,9,FALSE))</f>
        <v/>
      </c>
      <c r="C71" s="103" t="str">
        <f t="shared" si="5"/>
        <v/>
      </c>
      <c r="D71" s="59" t="str">
        <f t="shared" si="6"/>
        <v/>
      </c>
      <c r="E71" s="68"/>
      <c r="F71" s="106" t="str">
        <f t="shared" si="7"/>
        <v/>
      </c>
      <c r="G71" s="101"/>
      <c r="H71" s="101"/>
      <c r="I71" s="101"/>
      <c r="J71" s="68"/>
      <c r="L71" t="str">
        <f t="shared" si="8"/>
        <v/>
      </c>
      <c r="M71" t="str">
        <f t="shared" si="9"/>
        <v/>
      </c>
      <c r="R71" s="4">
        <v>663130000</v>
      </c>
      <c r="S71" s="4" t="s">
        <v>581</v>
      </c>
      <c r="T71" s="4">
        <v>61</v>
      </c>
      <c r="U71" s="4" t="s">
        <v>579</v>
      </c>
      <c r="V71">
        <v>663</v>
      </c>
      <c r="W71">
        <v>66</v>
      </c>
    </row>
    <row r="72" spans="1:23">
      <c r="A72" s="60" t="str">
        <f>IF(E72="","",VLOOKUP('OPĆI DIO'!$C$3,'OPĆI DIO'!$L$6:$U$138,10,FALSE))</f>
        <v/>
      </c>
      <c r="B72" s="60" t="str">
        <f>IF(E72="","",VLOOKUP('OPĆI DIO'!$C$3,'OPĆI DIO'!$L$6:$U$138,9,FALSE))</f>
        <v/>
      </c>
      <c r="C72" s="103" t="str">
        <f t="shared" si="5"/>
        <v/>
      </c>
      <c r="D72" s="59" t="str">
        <f t="shared" si="6"/>
        <v/>
      </c>
      <c r="E72" s="68"/>
      <c r="F72" s="106" t="str">
        <f t="shared" si="7"/>
        <v/>
      </c>
      <c r="G72" s="101"/>
      <c r="H72" s="101"/>
      <c r="I72" s="101"/>
      <c r="J72" s="68"/>
      <c r="L72" t="str">
        <f t="shared" si="8"/>
        <v/>
      </c>
      <c r="M72" t="str">
        <f t="shared" si="9"/>
        <v/>
      </c>
      <c r="R72" s="4">
        <v>663140000</v>
      </c>
      <c r="S72" s="4" t="s">
        <v>582</v>
      </c>
      <c r="T72" s="4">
        <v>61</v>
      </c>
      <c r="U72" s="4" t="s">
        <v>579</v>
      </c>
      <c r="V72">
        <v>663</v>
      </c>
      <c r="W72">
        <v>66</v>
      </c>
    </row>
    <row r="73" spans="1:23">
      <c r="A73" s="60" t="str">
        <f>IF(E73="","",VLOOKUP('OPĆI DIO'!$C$3,'OPĆI DIO'!$L$6:$U$138,10,FALSE))</f>
        <v/>
      </c>
      <c r="B73" s="60" t="str">
        <f>IF(E73="","",VLOOKUP('OPĆI DIO'!$C$3,'OPĆI DIO'!$L$6:$U$138,9,FALSE))</f>
        <v/>
      </c>
      <c r="C73" s="103" t="str">
        <f t="shared" si="5"/>
        <v/>
      </c>
      <c r="D73" s="59" t="str">
        <f t="shared" si="6"/>
        <v/>
      </c>
      <c r="E73" s="68"/>
      <c r="F73" s="106" t="str">
        <f t="shared" si="7"/>
        <v/>
      </c>
      <c r="G73" s="101"/>
      <c r="H73" s="101"/>
      <c r="I73" s="101"/>
      <c r="J73" s="68"/>
      <c r="L73" t="str">
        <f t="shared" si="8"/>
        <v/>
      </c>
      <c r="M73" t="str">
        <f t="shared" si="9"/>
        <v/>
      </c>
      <c r="R73" s="4">
        <v>663210000</v>
      </c>
      <c r="S73" s="4" t="s">
        <v>583</v>
      </c>
      <c r="T73" s="4">
        <v>61</v>
      </c>
      <c r="U73" s="4" t="s">
        <v>579</v>
      </c>
      <c r="V73">
        <v>663</v>
      </c>
      <c r="W73">
        <v>66</v>
      </c>
    </row>
    <row r="74" spans="1:23">
      <c r="A74" s="60" t="str">
        <f>IF(E74="","",VLOOKUP('OPĆI DIO'!$C$3,'OPĆI DIO'!$L$6:$U$138,10,FALSE))</f>
        <v/>
      </c>
      <c r="B74" s="60" t="str">
        <f>IF(E74="","",VLOOKUP('OPĆI DIO'!$C$3,'OPĆI DIO'!$L$6:$U$138,9,FALSE))</f>
        <v/>
      </c>
      <c r="C74" s="103" t="str">
        <f t="shared" si="5"/>
        <v/>
      </c>
      <c r="D74" s="59" t="str">
        <f t="shared" si="6"/>
        <v/>
      </c>
      <c r="E74" s="68"/>
      <c r="F74" s="106" t="str">
        <f t="shared" si="7"/>
        <v/>
      </c>
      <c r="G74" s="101"/>
      <c r="H74" s="101"/>
      <c r="I74" s="101"/>
      <c r="J74" s="68"/>
      <c r="L74" t="str">
        <f t="shared" si="8"/>
        <v/>
      </c>
      <c r="M74" t="str">
        <f t="shared" si="9"/>
        <v/>
      </c>
      <c r="R74" s="4">
        <v>663220000</v>
      </c>
      <c r="S74" s="4" t="s">
        <v>584</v>
      </c>
      <c r="T74" s="4">
        <v>61</v>
      </c>
      <c r="U74" s="4" t="s">
        <v>579</v>
      </c>
      <c r="V74">
        <v>663</v>
      </c>
      <c r="W74">
        <v>66</v>
      </c>
    </row>
    <row r="75" spans="1:23">
      <c r="A75" s="60" t="str">
        <f>IF(E75="","",VLOOKUP('OPĆI DIO'!$C$3,'OPĆI DIO'!$L$6:$U$138,10,FALSE))</f>
        <v/>
      </c>
      <c r="B75" s="60" t="str">
        <f>IF(E75="","",VLOOKUP('OPĆI DIO'!$C$3,'OPĆI DIO'!$L$6:$U$138,9,FALSE))</f>
        <v/>
      </c>
      <c r="C75" s="103" t="str">
        <f t="shared" si="5"/>
        <v/>
      </c>
      <c r="D75" s="59" t="str">
        <f t="shared" si="6"/>
        <v/>
      </c>
      <c r="E75" s="68"/>
      <c r="F75" s="106" t="str">
        <f t="shared" si="7"/>
        <v/>
      </c>
      <c r="G75" s="101"/>
      <c r="H75" s="101"/>
      <c r="I75" s="101"/>
      <c r="J75" s="68"/>
      <c r="L75" t="str">
        <f t="shared" si="8"/>
        <v/>
      </c>
      <c r="M75" t="str">
        <f t="shared" si="9"/>
        <v/>
      </c>
      <c r="R75" s="4">
        <v>663230000</v>
      </c>
      <c r="S75" s="4" t="s">
        <v>585</v>
      </c>
      <c r="T75" s="4">
        <v>61</v>
      </c>
      <c r="U75" s="4" t="s">
        <v>579</v>
      </c>
      <c r="V75">
        <v>663</v>
      </c>
      <c r="W75">
        <v>66</v>
      </c>
    </row>
    <row r="76" spans="1:23">
      <c r="A76" s="60" t="str">
        <f>IF(E76="","",VLOOKUP('OPĆI DIO'!$C$3,'OPĆI DIO'!$L$6:$U$138,10,FALSE))</f>
        <v/>
      </c>
      <c r="B76" s="60" t="str">
        <f>IF(E76="","",VLOOKUP('OPĆI DIO'!$C$3,'OPĆI DIO'!$L$6:$U$138,9,FALSE))</f>
        <v/>
      </c>
      <c r="C76" s="103" t="str">
        <f t="shared" si="5"/>
        <v/>
      </c>
      <c r="D76" s="59" t="str">
        <f t="shared" si="6"/>
        <v/>
      </c>
      <c r="E76" s="68"/>
      <c r="F76" s="106" t="str">
        <f t="shared" si="7"/>
        <v/>
      </c>
      <c r="G76" s="101"/>
      <c r="H76" s="101"/>
      <c r="I76" s="101"/>
      <c r="J76" s="68"/>
      <c r="L76" t="str">
        <f t="shared" si="8"/>
        <v/>
      </c>
      <c r="M76" t="str">
        <f t="shared" si="9"/>
        <v/>
      </c>
      <c r="R76" s="4">
        <v>663240000</v>
      </c>
      <c r="S76" s="4" t="s">
        <v>586</v>
      </c>
      <c r="T76" s="4">
        <v>61</v>
      </c>
      <c r="U76" s="4" t="s">
        <v>579</v>
      </c>
      <c r="V76">
        <v>663</v>
      </c>
      <c r="W76">
        <v>66</v>
      </c>
    </row>
    <row r="77" spans="1:23">
      <c r="A77" s="60" t="str">
        <f>IF(E77="","",VLOOKUP('OPĆI DIO'!$C$3,'OPĆI DIO'!$L$6:$U$138,10,FALSE))</f>
        <v/>
      </c>
      <c r="B77" s="60" t="str">
        <f>IF(E77="","",VLOOKUP('OPĆI DIO'!$C$3,'OPĆI DIO'!$L$6:$U$138,9,FALSE))</f>
        <v/>
      </c>
      <c r="C77" s="103" t="str">
        <f t="shared" si="5"/>
        <v/>
      </c>
      <c r="D77" s="59" t="str">
        <f t="shared" si="6"/>
        <v/>
      </c>
      <c r="E77" s="68"/>
      <c r="F77" s="106" t="str">
        <f t="shared" si="7"/>
        <v/>
      </c>
      <c r="G77" s="101"/>
      <c r="H77" s="101"/>
      <c r="I77" s="101"/>
      <c r="J77" s="68"/>
      <c r="L77" t="str">
        <f t="shared" si="8"/>
        <v/>
      </c>
      <c r="M77" t="str">
        <f t="shared" si="9"/>
        <v/>
      </c>
      <c r="R77" s="4">
        <v>663121000</v>
      </c>
      <c r="S77" s="4" t="s">
        <v>587</v>
      </c>
      <c r="T77" s="4">
        <v>63</v>
      </c>
      <c r="U77" s="4" t="s">
        <v>588</v>
      </c>
      <c r="V77">
        <v>663</v>
      </c>
      <c r="W77">
        <v>66</v>
      </c>
    </row>
    <row r="78" spans="1:23">
      <c r="A78" s="60" t="str">
        <f>IF(E78="","",VLOOKUP('OPĆI DIO'!$C$3,'OPĆI DIO'!$L$6:$U$138,10,FALSE))</f>
        <v/>
      </c>
      <c r="B78" s="60" t="str">
        <f>IF(E78="","",VLOOKUP('OPĆI DIO'!$C$3,'OPĆI DIO'!$L$6:$U$138,9,FALSE))</f>
        <v/>
      </c>
      <c r="C78" s="103" t="str">
        <f t="shared" si="5"/>
        <v/>
      </c>
      <c r="D78" s="59" t="str">
        <f t="shared" si="6"/>
        <v/>
      </c>
      <c r="E78" s="68"/>
      <c r="F78" s="106" t="str">
        <f t="shared" si="7"/>
        <v/>
      </c>
      <c r="G78" s="101"/>
      <c r="H78" s="101"/>
      <c r="I78" s="101"/>
      <c r="J78" s="68"/>
      <c r="L78" t="str">
        <f t="shared" si="8"/>
        <v/>
      </c>
      <c r="M78" t="str">
        <f t="shared" si="9"/>
        <v/>
      </c>
      <c r="R78" s="4">
        <v>663131000</v>
      </c>
      <c r="S78" s="4" t="s">
        <v>589</v>
      </c>
      <c r="T78" s="4">
        <v>63</v>
      </c>
      <c r="U78" s="4" t="s">
        <v>588</v>
      </c>
      <c r="V78">
        <v>663</v>
      </c>
      <c r="W78">
        <v>66</v>
      </c>
    </row>
    <row r="79" spans="1:23">
      <c r="A79" s="60" t="str">
        <f>IF(E79="","",VLOOKUP('OPĆI DIO'!$C$3,'OPĆI DIO'!$L$6:$U$138,10,FALSE))</f>
        <v/>
      </c>
      <c r="B79" s="60" t="str">
        <f>IF(E79="","",VLOOKUP('OPĆI DIO'!$C$3,'OPĆI DIO'!$L$6:$U$138,9,FALSE))</f>
        <v/>
      </c>
      <c r="C79" s="103" t="str">
        <f t="shared" si="5"/>
        <v/>
      </c>
      <c r="D79" s="59" t="str">
        <f t="shared" si="6"/>
        <v/>
      </c>
      <c r="E79" s="68"/>
      <c r="F79" s="106" t="str">
        <f t="shared" si="7"/>
        <v/>
      </c>
      <c r="G79" s="101"/>
      <c r="H79" s="101"/>
      <c r="I79" s="101"/>
      <c r="J79" s="68"/>
      <c r="L79" t="str">
        <f t="shared" si="8"/>
        <v/>
      </c>
      <c r="M79" t="str">
        <f t="shared" si="9"/>
        <v/>
      </c>
      <c r="R79" s="4">
        <v>663221000</v>
      </c>
      <c r="S79" s="4" t="s">
        <v>590</v>
      </c>
      <c r="T79" s="4">
        <v>63</v>
      </c>
      <c r="U79" s="4" t="s">
        <v>588</v>
      </c>
      <c r="V79">
        <v>663</v>
      </c>
      <c r="W79">
        <v>66</v>
      </c>
    </row>
    <row r="80" spans="1:23">
      <c r="A80" s="60" t="str">
        <f>IF(E80="","",VLOOKUP('OPĆI DIO'!$C$3,'OPĆI DIO'!$L$6:$U$138,10,FALSE))</f>
        <v/>
      </c>
      <c r="B80" s="60" t="str">
        <f>IF(E80="","",VLOOKUP('OPĆI DIO'!$C$3,'OPĆI DIO'!$L$6:$U$138,9,FALSE))</f>
        <v/>
      </c>
      <c r="C80" s="103" t="str">
        <f t="shared" si="5"/>
        <v/>
      </c>
      <c r="D80" s="59" t="str">
        <f t="shared" si="6"/>
        <v/>
      </c>
      <c r="E80" s="68"/>
      <c r="F80" s="106" t="str">
        <f t="shared" si="7"/>
        <v/>
      </c>
      <c r="G80" s="101"/>
      <c r="H80" s="101"/>
      <c r="I80" s="101"/>
      <c r="J80" s="68"/>
      <c r="L80" t="str">
        <f t="shared" si="8"/>
        <v/>
      </c>
      <c r="M80" t="str">
        <f t="shared" si="9"/>
        <v/>
      </c>
      <c r="R80" s="4">
        <v>663231000</v>
      </c>
      <c r="S80" s="4" t="s">
        <v>591</v>
      </c>
      <c r="T80" s="4">
        <v>63</v>
      </c>
      <c r="U80" s="4" t="s">
        <v>588</v>
      </c>
      <c r="V80">
        <v>663</v>
      </c>
      <c r="W80">
        <v>66</v>
      </c>
    </row>
    <row r="81" spans="1:23">
      <c r="A81" s="60" t="str">
        <f>IF(E81="","",VLOOKUP('OPĆI DIO'!$C$3,'OPĆI DIO'!$L$6:$U$138,10,FALSE))</f>
        <v/>
      </c>
      <c r="B81" s="60" t="str">
        <f>IF(E81="","",VLOOKUP('OPĆI DIO'!$C$3,'OPĆI DIO'!$L$6:$U$138,9,FALSE))</f>
        <v/>
      </c>
      <c r="C81" s="103" t="str">
        <f t="shared" si="5"/>
        <v/>
      </c>
      <c r="D81" s="59" t="str">
        <f t="shared" si="6"/>
        <v/>
      </c>
      <c r="E81" s="68"/>
      <c r="F81" s="106" t="str">
        <f t="shared" si="7"/>
        <v/>
      </c>
      <c r="G81" s="101"/>
      <c r="H81" s="101"/>
      <c r="I81" s="101"/>
      <c r="J81" s="68"/>
      <c r="L81" t="str">
        <f t="shared" si="8"/>
        <v/>
      </c>
      <c r="M81" t="str">
        <f t="shared" si="9"/>
        <v/>
      </c>
      <c r="R81" s="4">
        <v>681910043</v>
      </c>
      <c r="S81" s="4" t="s">
        <v>592</v>
      </c>
      <c r="T81" s="4">
        <v>43</v>
      </c>
      <c r="U81" s="4" t="s">
        <v>505</v>
      </c>
      <c r="V81">
        <v>681</v>
      </c>
      <c r="W81">
        <v>68</v>
      </c>
    </row>
    <row r="82" spans="1:23">
      <c r="A82" s="60" t="str">
        <f>IF(E82="","",VLOOKUP('OPĆI DIO'!$C$3,'OPĆI DIO'!$L$6:$U$138,10,FALSE))</f>
        <v/>
      </c>
      <c r="B82" s="60" t="str">
        <f>IF(E82="","",VLOOKUP('OPĆI DIO'!$C$3,'OPĆI DIO'!$L$6:$U$138,9,FALSE))</f>
        <v/>
      </c>
      <c r="C82" s="103" t="str">
        <f t="shared" si="5"/>
        <v/>
      </c>
      <c r="D82" s="59" t="str">
        <f t="shared" si="6"/>
        <v/>
      </c>
      <c r="E82" s="68"/>
      <c r="F82" s="106" t="str">
        <f t="shared" si="7"/>
        <v/>
      </c>
      <c r="G82" s="101"/>
      <c r="H82" s="101"/>
      <c r="I82" s="101"/>
      <c r="J82" s="68"/>
      <c r="L82" t="str">
        <f t="shared" si="8"/>
        <v/>
      </c>
      <c r="M82" t="str">
        <f t="shared" si="9"/>
        <v/>
      </c>
      <c r="R82" s="4">
        <v>683110031</v>
      </c>
      <c r="S82" s="4" t="s">
        <v>593</v>
      </c>
      <c r="T82" s="4">
        <v>31</v>
      </c>
      <c r="U82" s="4" t="s">
        <v>500</v>
      </c>
      <c r="V82">
        <v>683</v>
      </c>
      <c r="W82">
        <v>68</v>
      </c>
    </row>
    <row r="83" spans="1:23">
      <c r="A83" s="60" t="str">
        <f>IF(E83="","",VLOOKUP('OPĆI DIO'!$C$3,'OPĆI DIO'!$L$6:$U$138,10,FALSE))</f>
        <v/>
      </c>
      <c r="B83" s="60" t="str">
        <f>IF(E83="","",VLOOKUP('OPĆI DIO'!$C$3,'OPĆI DIO'!$L$6:$U$138,9,FALSE))</f>
        <v/>
      </c>
      <c r="C83" s="103" t="str">
        <f t="shared" si="5"/>
        <v/>
      </c>
      <c r="D83" s="59" t="str">
        <f t="shared" si="6"/>
        <v/>
      </c>
      <c r="E83" s="68"/>
      <c r="F83" s="106" t="str">
        <f t="shared" si="7"/>
        <v/>
      </c>
      <c r="G83" s="101"/>
      <c r="H83" s="101"/>
      <c r="I83" s="101"/>
      <c r="J83" s="68"/>
      <c r="L83" t="str">
        <f t="shared" si="8"/>
        <v/>
      </c>
      <c r="M83" t="str">
        <f t="shared" si="9"/>
        <v/>
      </c>
      <c r="R83" s="4">
        <v>683110043</v>
      </c>
      <c r="S83" s="4" t="s">
        <v>594</v>
      </c>
      <c r="T83" s="4">
        <v>43</v>
      </c>
      <c r="U83" s="4" t="s">
        <v>505</v>
      </c>
      <c r="V83">
        <v>683</v>
      </c>
      <c r="W83">
        <v>68</v>
      </c>
    </row>
    <row r="84" spans="1:23">
      <c r="A84" s="60" t="str">
        <f>IF(E84="","",VLOOKUP('OPĆI DIO'!$C$3,'OPĆI DIO'!$L$6:$U$138,10,FALSE))</f>
        <v/>
      </c>
      <c r="B84" s="60" t="str">
        <f>IF(E84="","",VLOOKUP('OPĆI DIO'!$C$3,'OPĆI DIO'!$L$6:$U$138,9,FALSE))</f>
        <v/>
      </c>
      <c r="C84" s="103" t="str">
        <f t="shared" si="5"/>
        <v/>
      </c>
      <c r="D84" s="59" t="str">
        <f t="shared" si="6"/>
        <v/>
      </c>
      <c r="E84" s="68"/>
      <c r="F84" s="106" t="str">
        <f t="shared" si="7"/>
        <v/>
      </c>
      <c r="G84" s="101"/>
      <c r="H84" s="101"/>
      <c r="I84" s="101"/>
      <c r="J84" s="68"/>
      <c r="L84" t="str">
        <f t="shared" si="8"/>
        <v/>
      </c>
      <c r="M84" t="str">
        <f t="shared" si="9"/>
        <v/>
      </c>
      <c r="R84" s="4">
        <v>711110071</v>
      </c>
      <c r="S84" s="4" t="s">
        <v>595</v>
      </c>
      <c r="T84" s="4">
        <v>71</v>
      </c>
      <c r="U84" s="4" t="s">
        <v>596</v>
      </c>
      <c r="V84">
        <v>711</v>
      </c>
      <c r="W84">
        <v>71</v>
      </c>
    </row>
    <row r="85" spans="1:23">
      <c r="A85" s="60" t="str">
        <f>IF(E85="","",VLOOKUP('OPĆI DIO'!$C$3,'OPĆI DIO'!$L$6:$U$138,10,FALSE))</f>
        <v/>
      </c>
      <c r="B85" s="60" t="str">
        <f>IF(E85="","",VLOOKUP('OPĆI DIO'!$C$3,'OPĆI DIO'!$L$6:$U$138,9,FALSE))</f>
        <v/>
      </c>
      <c r="C85" s="103" t="str">
        <f t="shared" si="5"/>
        <v/>
      </c>
      <c r="D85" s="59" t="str">
        <f t="shared" si="6"/>
        <v/>
      </c>
      <c r="E85" s="68"/>
      <c r="F85" s="106" t="str">
        <f t="shared" si="7"/>
        <v/>
      </c>
      <c r="G85" s="101"/>
      <c r="H85" s="101"/>
      <c r="I85" s="101"/>
      <c r="J85" s="68"/>
      <c r="L85" t="str">
        <f t="shared" si="8"/>
        <v/>
      </c>
      <c r="M85" t="str">
        <f t="shared" si="9"/>
        <v/>
      </c>
      <c r="R85" s="4">
        <v>711120071</v>
      </c>
      <c r="S85" s="4" t="s">
        <v>597</v>
      </c>
      <c r="T85" s="4">
        <v>71</v>
      </c>
      <c r="U85" s="4" t="s">
        <v>596</v>
      </c>
      <c r="V85">
        <v>711</v>
      </c>
      <c r="W85">
        <v>71</v>
      </c>
    </row>
    <row r="86" spans="1:23">
      <c r="A86" s="60" t="str">
        <f>IF(E86="","",VLOOKUP('OPĆI DIO'!$C$3,'OPĆI DIO'!$L$6:$U$138,10,FALSE))</f>
        <v/>
      </c>
      <c r="B86" s="60" t="str">
        <f>IF(E86="","",VLOOKUP('OPĆI DIO'!$C$3,'OPĆI DIO'!$L$6:$U$138,9,FALSE))</f>
        <v/>
      </c>
      <c r="C86" s="103" t="str">
        <f t="shared" si="5"/>
        <v/>
      </c>
      <c r="D86" s="59" t="str">
        <f t="shared" si="6"/>
        <v/>
      </c>
      <c r="E86" s="68"/>
      <c r="F86" s="106" t="str">
        <f t="shared" si="7"/>
        <v/>
      </c>
      <c r="G86" s="101"/>
      <c r="H86" s="101"/>
      <c r="I86" s="101"/>
      <c r="J86" s="68"/>
      <c r="L86" t="str">
        <f t="shared" si="8"/>
        <v/>
      </c>
      <c r="M86" t="str">
        <f t="shared" si="9"/>
        <v/>
      </c>
      <c r="R86" s="4">
        <v>712410071</v>
      </c>
      <c r="S86" s="4" t="s">
        <v>598</v>
      </c>
      <c r="T86" s="4">
        <v>71</v>
      </c>
      <c r="U86" s="4" t="s">
        <v>596</v>
      </c>
      <c r="V86">
        <v>712</v>
      </c>
      <c r="W86">
        <v>71</v>
      </c>
    </row>
    <row r="87" spans="1:23">
      <c r="A87" s="60" t="str">
        <f>IF(E87="","",VLOOKUP('OPĆI DIO'!$C$3,'OPĆI DIO'!$L$6:$U$138,10,FALSE))</f>
        <v/>
      </c>
      <c r="B87" s="60" t="str">
        <f>IF(E87="","",VLOOKUP('OPĆI DIO'!$C$3,'OPĆI DIO'!$L$6:$U$138,9,FALSE))</f>
        <v/>
      </c>
      <c r="C87" s="103" t="str">
        <f t="shared" si="5"/>
        <v/>
      </c>
      <c r="D87" s="59" t="str">
        <f t="shared" si="6"/>
        <v/>
      </c>
      <c r="E87" s="68"/>
      <c r="F87" s="106" t="str">
        <f t="shared" si="7"/>
        <v/>
      </c>
      <c r="G87" s="101"/>
      <c r="H87" s="101"/>
      <c r="I87" s="101"/>
      <c r="J87" s="68"/>
      <c r="L87" t="str">
        <f t="shared" si="8"/>
        <v/>
      </c>
      <c r="M87" t="str">
        <f t="shared" si="9"/>
        <v/>
      </c>
      <c r="R87" s="4">
        <v>712490071</v>
      </c>
      <c r="S87" s="4" t="s">
        <v>599</v>
      </c>
      <c r="T87" s="4">
        <v>71</v>
      </c>
      <c r="U87" s="4" t="s">
        <v>596</v>
      </c>
      <c r="V87">
        <v>712</v>
      </c>
      <c r="W87">
        <v>71</v>
      </c>
    </row>
    <row r="88" spans="1:23">
      <c r="A88" s="60" t="str">
        <f>IF(E88="","",VLOOKUP('OPĆI DIO'!$C$3,'OPĆI DIO'!$L$6:$U$138,10,FALSE))</f>
        <v/>
      </c>
      <c r="B88" s="60" t="str">
        <f>IF(E88="","",VLOOKUP('OPĆI DIO'!$C$3,'OPĆI DIO'!$L$6:$U$138,9,FALSE))</f>
        <v/>
      </c>
      <c r="C88" s="103" t="str">
        <f t="shared" si="5"/>
        <v/>
      </c>
      <c r="D88" s="59" t="str">
        <f t="shared" si="6"/>
        <v/>
      </c>
      <c r="E88" s="68"/>
      <c r="F88" s="106" t="str">
        <f t="shared" si="7"/>
        <v/>
      </c>
      <c r="G88" s="101"/>
      <c r="H88" s="101"/>
      <c r="I88" s="101"/>
      <c r="J88" s="68"/>
      <c r="L88" t="str">
        <f t="shared" si="8"/>
        <v/>
      </c>
      <c r="M88" t="str">
        <f t="shared" si="9"/>
        <v/>
      </c>
      <c r="R88" s="4">
        <v>721110071</v>
      </c>
      <c r="S88" s="4" t="s">
        <v>600</v>
      </c>
      <c r="T88" s="4">
        <v>71</v>
      </c>
      <c r="U88" s="4" t="s">
        <v>596</v>
      </c>
      <c r="V88">
        <v>721</v>
      </c>
      <c r="W88">
        <v>72</v>
      </c>
    </row>
    <row r="89" spans="1:23">
      <c r="A89" s="60" t="str">
        <f>IF(E89="","",VLOOKUP('OPĆI DIO'!$C$3,'OPĆI DIO'!$L$6:$U$138,10,FALSE))</f>
        <v/>
      </c>
      <c r="B89" s="60" t="str">
        <f>IF(E89="","",VLOOKUP('OPĆI DIO'!$C$3,'OPĆI DIO'!$L$6:$U$138,9,FALSE))</f>
        <v/>
      </c>
      <c r="C89" s="103" t="str">
        <f t="shared" si="5"/>
        <v/>
      </c>
      <c r="D89" s="59" t="str">
        <f t="shared" si="6"/>
        <v/>
      </c>
      <c r="E89" s="68"/>
      <c r="F89" s="106" t="str">
        <f t="shared" si="7"/>
        <v/>
      </c>
      <c r="G89" s="101"/>
      <c r="H89" s="101"/>
      <c r="I89" s="101"/>
      <c r="J89" s="68"/>
      <c r="L89" t="str">
        <f t="shared" si="8"/>
        <v/>
      </c>
      <c r="M89" t="str">
        <f t="shared" si="9"/>
        <v/>
      </c>
      <c r="R89" s="4">
        <v>721190071</v>
      </c>
      <c r="S89" s="4" t="s">
        <v>601</v>
      </c>
      <c r="T89" s="4">
        <v>71</v>
      </c>
      <c r="U89" s="4" t="s">
        <v>596</v>
      </c>
      <c r="V89">
        <v>721</v>
      </c>
      <c r="W89">
        <v>72</v>
      </c>
    </row>
    <row r="90" spans="1:23">
      <c r="A90" s="60" t="str">
        <f>IF(E90="","",VLOOKUP('OPĆI DIO'!$C$3,'OPĆI DIO'!$L$6:$U$138,10,FALSE))</f>
        <v/>
      </c>
      <c r="B90" s="60" t="str">
        <f>IF(E90="","",VLOOKUP('OPĆI DIO'!$C$3,'OPĆI DIO'!$L$6:$U$138,9,FALSE))</f>
        <v/>
      </c>
      <c r="C90" s="103" t="str">
        <f t="shared" si="5"/>
        <v/>
      </c>
      <c r="D90" s="59" t="str">
        <f t="shared" si="6"/>
        <v/>
      </c>
      <c r="E90" s="68"/>
      <c r="F90" s="106" t="str">
        <f t="shared" si="7"/>
        <v/>
      </c>
      <c r="G90" s="101"/>
      <c r="H90" s="101"/>
      <c r="I90" s="101"/>
      <c r="J90" s="68"/>
      <c r="L90" t="str">
        <f t="shared" si="8"/>
        <v/>
      </c>
      <c r="M90" t="str">
        <f t="shared" si="9"/>
        <v/>
      </c>
      <c r="R90" s="4">
        <v>721230071</v>
      </c>
      <c r="S90" s="4" t="s">
        <v>602</v>
      </c>
      <c r="T90" s="4">
        <v>71</v>
      </c>
      <c r="U90" s="4" t="s">
        <v>596</v>
      </c>
      <c r="V90">
        <v>721</v>
      </c>
      <c r="W90">
        <v>72</v>
      </c>
    </row>
    <row r="91" spans="1:23">
      <c r="A91" s="60" t="str">
        <f>IF(E91="","",VLOOKUP('OPĆI DIO'!$C$3,'OPĆI DIO'!$L$6:$U$138,10,FALSE))</f>
        <v/>
      </c>
      <c r="B91" s="60" t="str">
        <f>IF(E91="","",VLOOKUP('OPĆI DIO'!$C$3,'OPĆI DIO'!$L$6:$U$138,9,FALSE))</f>
        <v/>
      </c>
      <c r="C91" s="103" t="str">
        <f t="shared" si="5"/>
        <v/>
      </c>
      <c r="D91" s="59" t="str">
        <f t="shared" si="6"/>
        <v/>
      </c>
      <c r="E91" s="68"/>
      <c r="F91" s="106" t="str">
        <f t="shared" si="7"/>
        <v/>
      </c>
      <c r="G91" s="101"/>
      <c r="H91" s="101"/>
      <c r="I91" s="101"/>
      <c r="J91" s="68"/>
      <c r="L91" t="str">
        <f t="shared" si="8"/>
        <v/>
      </c>
      <c r="M91" t="str">
        <f t="shared" si="9"/>
        <v/>
      </c>
      <c r="R91" s="4">
        <v>721290071</v>
      </c>
      <c r="S91" s="4" t="s">
        <v>603</v>
      </c>
      <c r="T91" s="4">
        <v>71</v>
      </c>
      <c r="U91" s="4" t="s">
        <v>596</v>
      </c>
      <c r="V91">
        <v>721</v>
      </c>
      <c r="W91">
        <v>72</v>
      </c>
    </row>
    <row r="92" spans="1:23">
      <c r="A92" s="60" t="str">
        <f>IF(E92="","",VLOOKUP('OPĆI DIO'!$C$3,'OPĆI DIO'!$L$6:$U$138,10,FALSE))</f>
        <v/>
      </c>
      <c r="B92" s="60" t="str">
        <f>IF(E92="","",VLOOKUP('OPĆI DIO'!$C$3,'OPĆI DIO'!$L$6:$U$138,9,FALSE))</f>
        <v/>
      </c>
      <c r="C92" s="103" t="str">
        <f t="shared" si="5"/>
        <v/>
      </c>
      <c r="D92" s="59" t="str">
        <f t="shared" si="6"/>
        <v/>
      </c>
      <c r="E92" s="68"/>
      <c r="F92" s="106" t="str">
        <f t="shared" si="7"/>
        <v/>
      </c>
      <c r="G92" s="101"/>
      <c r="H92" s="101"/>
      <c r="I92" s="101"/>
      <c r="J92" s="68"/>
      <c r="L92" t="str">
        <f t="shared" si="8"/>
        <v/>
      </c>
      <c r="M92" t="str">
        <f t="shared" si="9"/>
        <v/>
      </c>
      <c r="R92" s="4">
        <v>722110071</v>
      </c>
      <c r="S92" s="4" t="s">
        <v>604</v>
      </c>
      <c r="T92" s="4">
        <v>71</v>
      </c>
      <c r="U92" s="4" t="s">
        <v>596</v>
      </c>
      <c r="V92">
        <v>722</v>
      </c>
      <c r="W92">
        <v>72</v>
      </c>
    </row>
    <row r="93" spans="1:23">
      <c r="A93" s="60" t="str">
        <f>IF(E93="","",VLOOKUP('OPĆI DIO'!$C$3,'OPĆI DIO'!$L$6:$U$138,10,FALSE))</f>
        <v/>
      </c>
      <c r="B93" s="60" t="str">
        <f>IF(E93="","",VLOOKUP('OPĆI DIO'!$C$3,'OPĆI DIO'!$L$6:$U$138,9,FALSE))</f>
        <v/>
      </c>
      <c r="C93" s="103" t="str">
        <f t="shared" si="5"/>
        <v/>
      </c>
      <c r="D93" s="59" t="str">
        <f t="shared" si="6"/>
        <v/>
      </c>
      <c r="E93" s="68"/>
      <c r="F93" s="106" t="str">
        <f t="shared" si="7"/>
        <v/>
      </c>
      <c r="G93" s="101"/>
      <c r="H93" s="101"/>
      <c r="I93" s="101"/>
      <c r="J93" s="68"/>
      <c r="L93" t="str">
        <f t="shared" si="8"/>
        <v/>
      </c>
      <c r="M93" t="str">
        <f t="shared" si="9"/>
        <v/>
      </c>
      <c r="R93" s="4">
        <v>722120071</v>
      </c>
      <c r="S93" s="4" t="s">
        <v>605</v>
      </c>
      <c r="T93" s="4">
        <v>71</v>
      </c>
      <c r="U93" s="4" t="s">
        <v>596</v>
      </c>
      <c r="V93">
        <v>722</v>
      </c>
      <c r="W93">
        <v>72</v>
      </c>
    </row>
    <row r="94" spans="1:23">
      <c r="A94" s="60" t="str">
        <f>IF(E94="","",VLOOKUP('OPĆI DIO'!$C$3,'OPĆI DIO'!$L$6:$U$138,10,FALSE))</f>
        <v/>
      </c>
      <c r="B94" s="60" t="str">
        <f>IF(E94="","",VLOOKUP('OPĆI DIO'!$C$3,'OPĆI DIO'!$L$6:$U$138,9,FALSE))</f>
        <v/>
      </c>
      <c r="C94" s="103" t="str">
        <f t="shared" si="5"/>
        <v/>
      </c>
      <c r="D94" s="59" t="str">
        <f t="shared" si="6"/>
        <v/>
      </c>
      <c r="E94" s="68"/>
      <c r="F94" s="106" t="str">
        <f t="shared" si="7"/>
        <v/>
      </c>
      <c r="G94" s="101"/>
      <c r="H94" s="101"/>
      <c r="I94" s="101"/>
      <c r="J94" s="68"/>
      <c r="L94" t="str">
        <f t="shared" si="8"/>
        <v/>
      </c>
      <c r="M94" t="str">
        <f t="shared" si="9"/>
        <v/>
      </c>
      <c r="R94" s="4">
        <v>722190071</v>
      </c>
      <c r="S94" s="4" t="s">
        <v>606</v>
      </c>
      <c r="T94" s="4">
        <v>71</v>
      </c>
      <c r="U94" s="4" t="s">
        <v>596</v>
      </c>
      <c r="V94">
        <v>722</v>
      </c>
      <c r="W94">
        <v>72</v>
      </c>
    </row>
    <row r="95" spans="1:23">
      <c r="A95" s="60" t="str">
        <f>IF(E95="","",VLOOKUP('OPĆI DIO'!$C$3,'OPĆI DIO'!$L$6:$U$138,10,FALSE))</f>
        <v/>
      </c>
      <c r="B95" s="60" t="str">
        <f>IF(E95="","",VLOOKUP('OPĆI DIO'!$C$3,'OPĆI DIO'!$L$6:$U$138,9,FALSE))</f>
        <v/>
      </c>
      <c r="C95" s="103" t="str">
        <f t="shared" si="5"/>
        <v/>
      </c>
      <c r="D95" s="59" t="str">
        <f t="shared" si="6"/>
        <v/>
      </c>
      <c r="E95" s="68"/>
      <c r="F95" s="106" t="str">
        <f t="shared" si="7"/>
        <v/>
      </c>
      <c r="G95" s="101"/>
      <c r="H95" s="101"/>
      <c r="I95" s="101"/>
      <c r="J95" s="68"/>
      <c r="L95" t="str">
        <f t="shared" si="8"/>
        <v/>
      </c>
      <c r="M95" t="str">
        <f t="shared" si="9"/>
        <v/>
      </c>
      <c r="R95" s="4">
        <v>722620071</v>
      </c>
      <c r="S95" s="4" t="s">
        <v>607</v>
      </c>
      <c r="T95" s="4">
        <v>71</v>
      </c>
      <c r="U95" s="4" t="s">
        <v>596</v>
      </c>
      <c r="V95">
        <v>722</v>
      </c>
      <c r="W95">
        <v>72</v>
      </c>
    </row>
    <row r="96" spans="1:23">
      <c r="A96" s="60" t="str">
        <f>IF(E96="","",VLOOKUP('OPĆI DIO'!$C$3,'OPĆI DIO'!$L$6:$U$138,10,FALSE))</f>
        <v/>
      </c>
      <c r="B96" s="60" t="str">
        <f>IF(E96="","",VLOOKUP('OPĆI DIO'!$C$3,'OPĆI DIO'!$L$6:$U$138,9,FALSE))</f>
        <v/>
      </c>
      <c r="C96" s="103" t="str">
        <f t="shared" si="5"/>
        <v/>
      </c>
      <c r="D96" s="59" t="str">
        <f t="shared" si="6"/>
        <v/>
      </c>
      <c r="E96" s="68"/>
      <c r="F96" s="106" t="str">
        <f t="shared" si="7"/>
        <v/>
      </c>
      <c r="G96" s="101"/>
      <c r="H96" s="101"/>
      <c r="I96" s="101"/>
      <c r="J96" s="68"/>
      <c r="L96" t="str">
        <f t="shared" si="8"/>
        <v/>
      </c>
      <c r="M96" t="str">
        <f t="shared" si="9"/>
        <v/>
      </c>
      <c r="R96" s="4">
        <v>722720071</v>
      </c>
      <c r="S96" s="4" t="s">
        <v>608</v>
      </c>
      <c r="T96" s="4">
        <v>71</v>
      </c>
      <c r="U96" s="4" t="s">
        <v>531</v>
      </c>
      <c r="V96">
        <v>722</v>
      </c>
      <c r="W96">
        <v>72</v>
      </c>
    </row>
    <row r="97" spans="1:23">
      <c r="A97" s="60" t="str">
        <f>IF(E97="","",VLOOKUP('OPĆI DIO'!$C$3,'OPĆI DIO'!$L$6:$U$138,10,FALSE))</f>
        <v/>
      </c>
      <c r="B97" s="60" t="str">
        <f>IF(E97="","",VLOOKUP('OPĆI DIO'!$C$3,'OPĆI DIO'!$L$6:$U$138,9,FALSE))</f>
        <v/>
      </c>
      <c r="C97" s="103" t="str">
        <f t="shared" si="5"/>
        <v/>
      </c>
      <c r="D97" s="59" t="str">
        <f t="shared" si="6"/>
        <v/>
      </c>
      <c r="E97" s="68"/>
      <c r="F97" s="106" t="str">
        <f t="shared" si="7"/>
        <v/>
      </c>
      <c r="G97" s="101"/>
      <c r="H97" s="101"/>
      <c r="I97" s="101"/>
      <c r="J97" s="68"/>
      <c r="L97" t="str">
        <f t="shared" si="8"/>
        <v/>
      </c>
      <c r="M97" t="str">
        <f t="shared" si="9"/>
        <v/>
      </c>
      <c r="R97" s="4">
        <v>722730071</v>
      </c>
      <c r="S97" s="4" t="s">
        <v>609</v>
      </c>
      <c r="T97" s="4">
        <v>71</v>
      </c>
      <c r="U97" s="4" t="s">
        <v>596</v>
      </c>
      <c r="V97">
        <v>722</v>
      </c>
      <c r="W97">
        <v>72</v>
      </c>
    </row>
    <row r="98" spans="1:23">
      <c r="A98" s="60" t="str">
        <f>IF(E98="","",VLOOKUP('OPĆI DIO'!$C$3,'OPĆI DIO'!$L$6:$U$138,10,FALSE))</f>
        <v/>
      </c>
      <c r="B98" s="60" t="str">
        <f>IF(E98="","",VLOOKUP('OPĆI DIO'!$C$3,'OPĆI DIO'!$L$6:$U$138,9,FALSE))</f>
        <v/>
      </c>
      <c r="C98" s="103" t="str">
        <f t="shared" si="5"/>
        <v/>
      </c>
      <c r="D98" s="59" t="str">
        <f t="shared" si="6"/>
        <v/>
      </c>
      <c r="E98" s="68"/>
      <c r="F98" s="106" t="str">
        <f t="shared" si="7"/>
        <v/>
      </c>
      <c r="G98" s="101"/>
      <c r="H98" s="101"/>
      <c r="I98" s="101"/>
      <c r="J98" s="68"/>
      <c r="L98" t="str">
        <f t="shared" si="8"/>
        <v/>
      </c>
      <c r="M98" t="str">
        <f t="shared" si="9"/>
        <v/>
      </c>
      <c r="R98" s="4">
        <v>723110071</v>
      </c>
      <c r="S98" s="4" t="s">
        <v>610</v>
      </c>
      <c r="T98" s="4">
        <v>71</v>
      </c>
      <c r="U98" s="4" t="s">
        <v>596</v>
      </c>
      <c r="V98">
        <v>723</v>
      </c>
      <c r="W98">
        <v>72</v>
      </c>
    </row>
    <row r="99" spans="1:23">
      <c r="A99" s="60" t="str">
        <f>IF(E99="","",VLOOKUP('OPĆI DIO'!$C$3,'OPĆI DIO'!$L$6:$U$138,10,FALSE))</f>
        <v/>
      </c>
      <c r="B99" s="60" t="str">
        <f>IF(E99="","",VLOOKUP('OPĆI DIO'!$C$3,'OPĆI DIO'!$L$6:$U$138,9,FALSE))</f>
        <v/>
      </c>
      <c r="C99" s="103" t="str">
        <f t="shared" si="5"/>
        <v/>
      </c>
      <c r="D99" s="59" t="str">
        <f t="shared" si="6"/>
        <v/>
      </c>
      <c r="E99" s="68"/>
      <c r="F99" s="106" t="str">
        <f t="shared" si="7"/>
        <v/>
      </c>
      <c r="G99" s="101"/>
      <c r="H99" s="101"/>
      <c r="I99" s="101"/>
      <c r="J99" s="68"/>
      <c r="L99" t="str">
        <f t="shared" si="8"/>
        <v/>
      </c>
      <c r="M99" t="str">
        <f t="shared" si="9"/>
        <v/>
      </c>
      <c r="R99" s="4">
        <v>723130071</v>
      </c>
      <c r="S99" s="4" t="s">
        <v>611</v>
      </c>
      <c r="T99" s="4">
        <v>71</v>
      </c>
      <c r="U99" s="4" t="s">
        <v>596</v>
      </c>
      <c r="V99">
        <v>723</v>
      </c>
      <c r="W99">
        <v>72</v>
      </c>
    </row>
    <row r="100" spans="1:23">
      <c r="A100" s="60" t="str">
        <f>IF(E100="","",VLOOKUP('OPĆI DIO'!$C$3,'OPĆI DIO'!$L$6:$U$138,10,FALSE))</f>
        <v/>
      </c>
      <c r="B100" s="60" t="str">
        <f>IF(E100="","",VLOOKUP('OPĆI DIO'!$C$3,'OPĆI DIO'!$L$6:$U$138,9,FALSE))</f>
        <v/>
      </c>
      <c r="C100" s="103" t="str">
        <f t="shared" si="5"/>
        <v/>
      </c>
      <c r="D100" s="59" t="str">
        <f t="shared" si="6"/>
        <v/>
      </c>
      <c r="E100" s="68"/>
      <c r="F100" s="106" t="str">
        <f t="shared" si="7"/>
        <v/>
      </c>
      <c r="G100" s="101"/>
      <c r="H100" s="101"/>
      <c r="I100" s="101"/>
      <c r="J100" s="68"/>
      <c r="L100" t="str">
        <f t="shared" si="8"/>
        <v/>
      </c>
      <c r="M100" t="str">
        <f t="shared" si="9"/>
        <v/>
      </c>
      <c r="R100" s="4">
        <v>723140071</v>
      </c>
      <c r="S100" s="4" t="s">
        <v>612</v>
      </c>
      <c r="T100" s="4">
        <v>71</v>
      </c>
      <c r="U100" s="4" t="s">
        <v>596</v>
      </c>
      <c r="V100">
        <v>723</v>
      </c>
      <c r="W100">
        <v>72</v>
      </c>
    </row>
    <row r="101" spans="1:23">
      <c r="A101" s="60" t="str">
        <f>IF(E101="","",VLOOKUP('OPĆI DIO'!$C$3,'OPĆI DIO'!$L$6:$U$138,10,FALSE))</f>
        <v/>
      </c>
      <c r="B101" s="60" t="str">
        <f>IF(E101="","",VLOOKUP('OPĆI DIO'!$C$3,'OPĆI DIO'!$L$6:$U$138,9,FALSE))</f>
        <v/>
      </c>
      <c r="C101" s="103" t="str">
        <f t="shared" si="5"/>
        <v/>
      </c>
      <c r="D101" s="59" t="str">
        <f t="shared" si="6"/>
        <v/>
      </c>
      <c r="E101" s="68"/>
      <c r="F101" s="106" t="str">
        <f t="shared" si="7"/>
        <v/>
      </c>
      <c r="G101" s="101"/>
      <c r="H101" s="101"/>
      <c r="I101" s="101"/>
      <c r="J101" s="68"/>
      <c r="L101" t="str">
        <f t="shared" si="8"/>
        <v/>
      </c>
      <c r="M101" t="str">
        <f t="shared" si="9"/>
        <v/>
      </c>
      <c r="R101" s="4">
        <v>723150071</v>
      </c>
      <c r="S101" s="4" t="s">
        <v>613</v>
      </c>
      <c r="T101" s="4">
        <v>71</v>
      </c>
      <c r="U101" s="4" t="s">
        <v>596</v>
      </c>
      <c r="V101">
        <v>723</v>
      </c>
      <c r="W101">
        <v>72</v>
      </c>
    </row>
    <row r="102" spans="1:23">
      <c r="A102" s="60" t="str">
        <f>IF(E102="","",VLOOKUP('OPĆI DIO'!$C$3,'OPĆI DIO'!$L$6:$U$138,10,FALSE))</f>
        <v/>
      </c>
      <c r="B102" s="60" t="str">
        <f>IF(E102="","",VLOOKUP('OPĆI DIO'!$C$3,'OPĆI DIO'!$L$6:$U$138,9,FALSE))</f>
        <v/>
      </c>
      <c r="C102" s="103" t="str">
        <f t="shared" si="5"/>
        <v/>
      </c>
      <c r="D102" s="59" t="str">
        <f t="shared" si="6"/>
        <v/>
      </c>
      <c r="E102" s="68"/>
      <c r="F102" s="106" t="str">
        <f t="shared" si="7"/>
        <v/>
      </c>
      <c r="G102" s="101"/>
      <c r="H102" s="101"/>
      <c r="I102" s="101"/>
      <c r="J102" s="68"/>
      <c r="L102" t="str">
        <f t="shared" si="8"/>
        <v/>
      </c>
      <c r="M102" t="str">
        <f t="shared" si="9"/>
        <v/>
      </c>
      <c r="R102" s="4">
        <v>723160071</v>
      </c>
      <c r="S102" s="4" t="s">
        <v>614</v>
      </c>
      <c r="T102" s="4">
        <v>71</v>
      </c>
      <c r="U102" s="4" t="s">
        <v>596</v>
      </c>
      <c r="V102">
        <v>723</v>
      </c>
      <c r="W102">
        <v>72</v>
      </c>
    </row>
    <row r="103" spans="1:23">
      <c r="A103" s="60" t="str">
        <f>IF(E103="","",VLOOKUP('OPĆI DIO'!$C$3,'OPĆI DIO'!$L$6:$U$138,10,FALSE))</f>
        <v/>
      </c>
      <c r="B103" s="60" t="str">
        <f>IF(E103="","",VLOOKUP('OPĆI DIO'!$C$3,'OPĆI DIO'!$L$6:$U$138,9,FALSE))</f>
        <v/>
      </c>
      <c r="C103" s="103" t="str">
        <f t="shared" si="5"/>
        <v/>
      </c>
      <c r="D103" s="59" t="str">
        <f t="shared" si="6"/>
        <v/>
      </c>
      <c r="E103" s="68"/>
      <c r="F103" s="106" t="str">
        <f t="shared" si="7"/>
        <v/>
      </c>
      <c r="G103" s="101"/>
      <c r="H103" s="101"/>
      <c r="I103" s="101"/>
      <c r="J103" s="68"/>
      <c r="L103" t="str">
        <f t="shared" si="8"/>
        <v/>
      </c>
      <c r="M103" t="str">
        <f t="shared" si="9"/>
        <v/>
      </c>
      <c r="R103" s="4">
        <v>723190071</v>
      </c>
      <c r="S103" s="4" t="s">
        <v>615</v>
      </c>
      <c r="T103" s="4">
        <v>71</v>
      </c>
      <c r="U103" s="4" t="s">
        <v>531</v>
      </c>
      <c r="V103">
        <v>723</v>
      </c>
      <c r="W103">
        <v>72</v>
      </c>
    </row>
    <row r="104" spans="1:23">
      <c r="A104" s="60" t="str">
        <f>IF(E104="","",VLOOKUP('OPĆI DIO'!$C$3,'OPĆI DIO'!$L$6:$U$138,10,FALSE))</f>
        <v/>
      </c>
      <c r="B104" s="60" t="str">
        <f>IF(E104="","",VLOOKUP('OPĆI DIO'!$C$3,'OPĆI DIO'!$L$6:$U$138,9,FALSE))</f>
        <v/>
      </c>
      <c r="C104" s="103" t="str">
        <f t="shared" si="5"/>
        <v/>
      </c>
      <c r="D104" s="59" t="str">
        <f t="shared" si="6"/>
        <v/>
      </c>
      <c r="E104" s="68"/>
      <c r="F104" s="106" t="str">
        <f t="shared" si="7"/>
        <v/>
      </c>
      <c r="G104" s="101"/>
      <c r="H104" s="101"/>
      <c r="I104" s="101"/>
      <c r="J104" s="68"/>
      <c r="L104" t="str">
        <f t="shared" si="8"/>
        <v/>
      </c>
      <c r="M104" t="str">
        <f t="shared" si="9"/>
        <v/>
      </c>
      <c r="R104" s="4">
        <v>723310071</v>
      </c>
      <c r="S104" s="4" t="s">
        <v>616</v>
      </c>
      <c r="T104" s="4">
        <v>71</v>
      </c>
      <c r="U104" s="4" t="s">
        <v>596</v>
      </c>
      <c r="V104">
        <v>723</v>
      </c>
      <c r="W104">
        <v>72</v>
      </c>
    </row>
    <row r="105" spans="1:23">
      <c r="A105" s="60" t="str">
        <f>IF(E105="","",VLOOKUP('OPĆI DIO'!$C$3,'OPĆI DIO'!$L$6:$U$138,10,FALSE))</f>
        <v/>
      </c>
      <c r="B105" s="60" t="str">
        <f>IF(E105="","",VLOOKUP('OPĆI DIO'!$C$3,'OPĆI DIO'!$L$6:$U$138,9,FALSE))</f>
        <v/>
      </c>
      <c r="C105" s="103" t="str">
        <f t="shared" si="5"/>
        <v/>
      </c>
      <c r="D105" s="59" t="str">
        <f t="shared" si="6"/>
        <v/>
      </c>
      <c r="E105" s="68"/>
      <c r="F105" s="106" t="str">
        <f t="shared" si="7"/>
        <v/>
      </c>
      <c r="G105" s="101"/>
      <c r="H105" s="101"/>
      <c r="I105" s="101"/>
      <c r="J105" s="68"/>
      <c r="L105" t="str">
        <f t="shared" si="8"/>
        <v/>
      </c>
      <c r="M105" t="str">
        <f t="shared" si="9"/>
        <v/>
      </c>
      <c r="R105" s="4">
        <v>725210071</v>
      </c>
      <c r="S105" s="4" t="s">
        <v>617</v>
      </c>
      <c r="T105" s="4">
        <v>71</v>
      </c>
      <c r="U105" s="4" t="s">
        <v>596</v>
      </c>
      <c r="V105">
        <v>725</v>
      </c>
      <c r="W105">
        <v>72</v>
      </c>
    </row>
    <row r="106" spans="1:23">
      <c r="A106" s="60" t="str">
        <f>IF(E106="","",VLOOKUP('OPĆI DIO'!$C$3,'OPĆI DIO'!$L$6:$U$138,10,FALSE))</f>
        <v/>
      </c>
      <c r="B106" s="60" t="str">
        <f>IF(E106="","",VLOOKUP('OPĆI DIO'!$C$3,'OPĆI DIO'!$L$6:$U$138,9,FALSE))</f>
        <v/>
      </c>
      <c r="C106" s="103" t="str">
        <f t="shared" si="5"/>
        <v/>
      </c>
      <c r="D106" s="59" t="str">
        <f t="shared" si="6"/>
        <v/>
      </c>
      <c r="E106" s="68"/>
      <c r="F106" s="106" t="str">
        <f t="shared" si="7"/>
        <v/>
      </c>
      <c r="G106" s="101"/>
      <c r="H106" s="101"/>
      <c r="I106" s="101"/>
      <c r="J106" s="68"/>
      <c r="L106" t="str">
        <f t="shared" si="8"/>
        <v/>
      </c>
      <c r="M106" t="str">
        <f t="shared" si="9"/>
        <v/>
      </c>
      <c r="R106" s="4">
        <v>818110043</v>
      </c>
      <c r="S106" s="4" t="s">
        <v>618</v>
      </c>
      <c r="T106" s="4">
        <v>43</v>
      </c>
      <c r="U106" s="4" t="s">
        <v>505</v>
      </c>
      <c r="V106">
        <v>818</v>
      </c>
      <c r="W106">
        <v>81</v>
      </c>
    </row>
    <row r="107" spans="1:23">
      <c r="A107" s="60" t="str">
        <f>IF(E107="","",VLOOKUP('OPĆI DIO'!$C$3,'OPĆI DIO'!$L$6:$U$138,10,FALSE))</f>
        <v/>
      </c>
      <c r="B107" s="60" t="str">
        <f>IF(E107="","",VLOOKUP('OPĆI DIO'!$C$3,'OPĆI DIO'!$L$6:$U$138,9,FALSE))</f>
        <v/>
      </c>
      <c r="C107" s="103" t="str">
        <f t="shared" si="5"/>
        <v/>
      </c>
      <c r="D107" s="59" t="str">
        <f t="shared" si="6"/>
        <v/>
      </c>
      <c r="E107" s="68"/>
      <c r="F107" s="106" t="str">
        <f t="shared" si="7"/>
        <v/>
      </c>
      <c r="G107" s="101"/>
      <c r="H107" s="101"/>
      <c r="I107" s="101"/>
      <c r="J107" s="68"/>
      <c r="L107" t="str">
        <f t="shared" si="8"/>
        <v/>
      </c>
      <c r="M107" t="str">
        <f t="shared" si="9"/>
        <v/>
      </c>
      <c r="R107" s="4">
        <v>818120043</v>
      </c>
      <c r="S107" s="4" t="s">
        <v>619</v>
      </c>
      <c r="T107" s="4">
        <v>43</v>
      </c>
      <c r="U107" s="4" t="s">
        <v>505</v>
      </c>
      <c r="V107">
        <v>818</v>
      </c>
      <c r="W107">
        <v>81</v>
      </c>
    </row>
    <row r="108" spans="1:23">
      <c r="A108" s="60" t="str">
        <f>IF(E108="","",VLOOKUP('OPĆI DIO'!$C$3,'OPĆI DIO'!$L$6:$U$138,10,FALSE))</f>
        <v/>
      </c>
      <c r="B108" s="60" t="str">
        <f>IF(E108="","",VLOOKUP('OPĆI DIO'!$C$3,'OPĆI DIO'!$L$6:$U$138,9,FALSE))</f>
        <v/>
      </c>
      <c r="C108" s="103" t="str">
        <f t="shared" si="5"/>
        <v/>
      </c>
      <c r="D108" s="59" t="str">
        <f t="shared" si="6"/>
        <v/>
      </c>
      <c r="E108" s="68"/>
      <c r="F108" s="106" t="str">
        <f t="shared" si="7"/>
        <v/>
      </c>
      <c r="G108" s="101"/>
      <c r="H108" s="101"/>
      <c r="I108" s="101"/>
      <c r="J108" s="68"/>
      <c r="L108" t="str">
        <f t="shared" si="8"/>
        <v/>
      </c>
      <c r="M108" t="str">
        <f t="shared" si="9"/>
        <v/>
      </c>
      <c r="R108" s="4">
        <v>832120043</v>
      </c>
      <c r="S108" s="4" t="s">
        <v>620</v>
      </c>
      <c r="T108" s="4">
        <v>43</v>
      </c>
      <c r="U108" s="4" t="s">
        <v>505</v>
      </c>
      <c r="V108">
        <v>832</v>
      </c>
      <c r="W108">
        <v>83</v>
      </c>
    </row>
    <row r="109" spans="1:23">
      <c r="A109" s="60" t="str">
        <f>IF(E109="","",VLOOKUP('OPĆI DIO'!$C$3,'OPĆI DIO'!$L$6:$U$138,10,FALSE))</f>
        <v/>
      </c>
      <c r="B109" s="60" t="str">
        <f>IF(E109="","",VLOOKUP('OPĆI DIO'!$C$3,'OPĆI DIO'!$L$6:$U$138,9,FALSE))</f>
        <v/>
      </c>
      <c r="C109" s="103" t="str">
        <f t="shared" si="5"/>
        <v/>
      </c>
      <c r="D109" s="59" t="str">
        <f t="shared" si="6"/>
        <v/>
      </c>
      <c r="E109" s="68"/>
      <c r="F109" s="106" t="str">
        <f t="shared" si="7"/>
        <v/>
      </c>
      <c r="G109" s="101"/>
      <c r="H109" s="101"/>
      <c r="I109" s="101"/>
      <c r="J109" s="68"/>
      <c r="L109" t="str">
        <f t="shared" si="8"/>
        <v/>
      </c>
      <c r="M109" t="str">
        <f t="shared" si="9"/>
        <v/>
      </c>
      <c r="R109" s="4">
        <v>833130043</v>
      </c>
      <c r="S109" s="4" t="s">
        <v>621</v>
      </c>
      <c r="T109" s="4">
        <v>43</v>
      </c>
      <c r="U109" s="4" t="s">
        <v>505</v>
      </c>
      <c r="V109">
        <v>833</v>
      </c>
      <c r="W109">
        <v>83</v>
      </c>
    </row>
    <row r="110" spans="1:23">
      <c r="A110" s="60" t="str">
        <f>IF(E110="","",VLOOKUP('OPĆI DIO'!$C$3,'OPĆI DIO'!$L$6:$U$138,10,FALSE))</f>
        <v/>
      </c>
      <c r="B110" s="60" t="str">
        <f>IF(E110="","",VLOOKUP('OPĆI DIO'!$C$3,'OPĆI DIO'!$L$6:$U$138,9,FALSE))</f>
        <v/>
      </c>
      <c r="C110" s="103" t="str">
        <f t="shared" si="5"/>
        <v/>
      </c>
      <c r="D110" s="59" t="str">
        <f t="shared" si="6"/>
        <v/>
      </c>
      <c r="E110" s="68"/>
      <c r="F110" s="106" t="str">
        <f t="shared" si="7"/>
        <v/>
      </c>
      <c r="G110" s="101"/>
      <c r="H110" s="101"/>
      <c r="I110" s="101"/>
      <c r="J110" s="68"/>
      <c r="L110" t="str">
        <f t="shared" si="8"/>
        <v/>
      </c>
      <c r="M110" t="str">
        <f t="shared" si="9"/>
        <v/>
      </c>
      <c r="R110" s="4">
        <v>841320000</v>
      </c>
      <c r="S110" s="4" t="s">
        <v>622</v>
      </c>
      <c r="T110" s="4">
        <v>81</v>
      </c>
      <c r="U110" s="4" t="s">
        <v>623</v>
      </c>
      <c r="V110">
        <v>841</v>
      </c>
      <c r="W110">
        <v>84</v>
      </c>
    </row>
    <row r="111" spans="1:23">
      <c r="A111" s="60" t="str">
        <f>IF(E111="","",VLOOKUP('OPĆI DIO'!$C$3,'OPĆI DIO'!$L$6:$U$138,10,FALSE))</f>
        <v/>
      </c>
      <c r="B111" s="60" t="str">
        <f>IF(E111="","",VLOOKUP('OPĆI DIO'!$C$3,'OPĆI DIO'!$L$6:$U$138,9,FALSE))</f>
        <v/>
      </c>
      <c r="C111" s="103" t="str">
        <f t="shared" si="5"/>
        <v/>
      </c>
      <c r="D111" s="59" t="str">
        <f t="shared" si="6"/>
        <v/>
      </c>
      <c r="E111" s="68"/>
      <c r="F111" s="106" t="str">
        <f t="shared" si="7"/>
        <v/>
      </c>
      <c r="G111" s="101"/>
      <c r="H111" s="101"/>
      <c r="I111" s="101"/>
      <c r="J111" s="68"/>
      <c r="L111" t="str">
        <f t="shared" si="8"/>
        <v/>
      </c>
      <c r="M111" t="str">
        <f t="shared" si="9"/>
        <v/>
      </c>
      <c r="R111" s="160">
        <v>841320150</v>
      </c>
      <c r="S111" s="160" t="s">
        <v>624</v>
      </c>
      <c r="T111" s="160">
        <v>81</v>
      </c>
      <c r="U111" s="160" t="s">
        <v>623</v>
      </c>
      <c r="V111" s="120">
        <v>841</v>
      </c>
      <c r="W111" s="120">
        <v>84</v>
      </c>
    </row>
    <row r="112" spans="1:23">
      <c r="A112" s="60" t="str">
        <f>IF(E112="","",VLOOKUP('OPĆI DIO'!$C$3,'OPĆI DIO'!$L$6:$U$138,10,FALSE))</f>
        <v/>
      </c>
      <c r="B112" s="60" t="str">
        <f>IF(E112="","",VLOOKUP('OPĆI DIO'!$C$3,'OPĆI DIO'!$L$6:$U$138,9,FALSE))</f>
        <v/>
      </c>
      <c r="C112" s="103" t="str">
        <f t="shared" si="5"/>
        <v/>
      </c>
      <c r="D112" s="59" t="str">
        <f t="shared" si="6"/>
        <v/>
      </c>
      <c r="E112" s="68"/>
      <c r="F112" s="106" t="str">
        <f t="shared" si="7"/>
        <v/>
      </c>
      <c r="G112" s="101"/>
      <c r="H112" s="101"/>
      <c r="I112" s="101"/>
      <c r="J112" s="68"/>
      <c r="L112" t="str">
        <f t="shared" si="8"/>
        <v/>
      </c>
      <c r="M112" t="str">
        <f t="shared" si="9"/>
        <v/>
      </c>
      <c r="R112" s="160">
        <v>844320000</v>
      </c>
      <c r="S112" s="160" t="s">
        <v>625</v>
      </c>
      <c r="T112" s="160">
        <v>81</v>
      </c>
      <c r="U112" s="160" t="s">
        <v>623</v>
      </c>
      <c r="V112" s="120">
        <v>844</v>
      </c>
      <c r="W112" s="120">
        <v>84</v>
      </c>
    </row>
    <row r="113" spans="1:23">
      <c r="A113" s="60" t="str">
        <f>IF(E113="","",VLOOKUP('OPĆI DIO'!$C$3,'OPĆI DIO'!$L$6:$U$138,10,FALSE))</f>
        <v/>
      </c>
      <c r="B113" s="60" t="str">
        <f>IF(E113="","",VLOOKUP('OPĆI DIO'!$C$3,'OPĆI DIO'!$L$6:$U$138,9,FALSE))</f>
        <v/>
      </c>
      <c r="C113" s="103" t="str">
        <f t="shared" si="5"/>
        <v/>
      </c>
      <c r="D113" s="59" t="str">
        <f t="shared" si="6"/>
        <v/>
      </c>
      <c r="E113" s="68"/>
      <c r="F113" s="106" t="str">
        <f t="shared" si="7"/>
        <v/>
      </c>
      <c r="G113" s="101"/>
      <c r="H113" s="101"/>
      <c r="I113" s="101"/>
      <c r="J113" s="68"/>
      <c r="L113" t="str">
        <f t="shared" si="8"/>
        <v/>
      </c>
      <c r="M113" t="str">
        <f t="shared" si="9"/>
        <v/>
      </c>
      <c r="R113" s="4">
        <v>842220081</v>
      </c>
      <c r="S113" s="4" t="s">
        <v>626</v>
      </c>
      <c r="T113" s="4">
        <v>81</v>
      </c>
      <c r="U113" s="4" t="s">
        <v>623</v>
      </c>
      <c r="V113">
        <v>842</v>
      </c>
      <c r="W113">
        <v>84</v>
      </c>
    </row>
    <row r="114" spans="1:23">
      <c r="A114" s="60" t="str">
        <f>IF(E114="","",VLOOKUP('OPĆI DIO'!$C$3,'OPĆI DIO'!$L$6:$U$138,10,FALSE))</f>
        <v/>
      </c>
      <c r="B114" s="60" t="str">
        <f>IF(E114="","",VLOOKUP('OPĆI DIO'!$C$3,'OPĆI DIO'!$L$6:$U$138,9,FALSE))</f>
        <v/>
      </c>
      <c r="C114" s="103" t="str">
        <f t="shared" si="5"/>
        <v/>
      </c>
      <c r="D114" s="59" t="str">
        <f t="shared" si="6"/>
        <v/>
      </c>
      <c r="E114" s="68"/>
      <c r="F114" s="106" t="str">
        <f t="shared" si="7"/>
        <v/>
      </c>
      <c r="G114" s="101"/>
      <c r="H114" s="101"/>
      <c r="I114" s="101"/>
      <c r="J114" s="68"/>
      <c r="L114" t="str">
        <f t="shared" si="8"/>
        <v/>
      </c>
      <c r="M114" t="str">
        <f t="shared" si="9"/>
        <v/>
      </c>
    </row>
    <row r="115" spans="1:23">
      <c r="A115" s="60" t="str">
        <f>IF(E115="","",VLOOKUP('OPĆI DIO'!$C$3,'OPĆI DIO'!$L$6:$U$138,10,FALSE))</f>
        <v/>
      </c>
      <c r="B115" s="60" t="str">
        <f>IF(E115="","",VLOOKUP('OPĆI DIO'!$C$3,'OPĆI DIO'!$L$6:$U$138,9,FALSE))</f>
        <v/>
      </c>
      <c r="C115" s="103" t="str">
        <f t="shared" si="5"/>
        <v/>
      </c>
      <c r="D115" s="59" t="str">
        <f t="shared" si="6"/>
        <v/>
      </c>
      <c r="E115" s="68"/>
      <c r="F115" s="106" t="str">
        <f t="shared" si="7"/>
        <v/>
      </c>
      <c r="G115" s="101"/>
      <c r="H115" s="101"/>
      <c r="I115" s="101"/>
      <c r="J115" s="68"/>
      <c r="L115" t="str">
        <f t="shared" si="8"/>
        <v/>
      </c>
      <c r="M115" t="str">
        <f t="shared" si="9"/>
        <v/>
      </c>
    </row>
    <row r="116" spans="1:23">
      <c r="A116" s="60" t="str">
        <f>IF(E116="","",VLOOKUP('OPĆI DIO'!$C$3,'OPĆI DIO'!$L$6:$U$138,10,FALSE))</f>
        <v/>
      </c>
      <c r="B116" s="60" t="str">
        <f>IF(E116="","",VLOOKUP('OPĆI DIO'!$C$3,'OPĆI DIO'!$L$6:$U$138,9,FALSE))</f>
        <v/>
      </c>
      <c r="C116" s="103" t="str">
        <f t="shared" si="5"/>
        <v/>
      </c>
      <c r="D116" s="59" t="str">
        <f t="shared" si="6"/>
        <v/>
      </c>
      <c r="E116" s="68"/>
      <c r="F116" s="106" t="str">
        <f t="shared" si="7"/>
        <v/>
      </c>
      <c r="G116" s="101"/>
      <c r="H116" s="101"/>
      <c r="I116" s="101"/>
      <c r="J116" s="68"/>
      <c r="L116" t="str">
        <f t="shared" si="8"/>
        <v/>
      </c>
      <c r="M116" t="str">
        <f t="shared" si="9"/>
        <v/>
      </c>
    </row>
    <row r="117" spans="1:23">
      <c r="A117" s="60" t="str">
        <f>IF(E117="","",VLOOKUP('OPĆI DIO'!$C$3,'OPĆI DIO'!$L$6:$U$138,10,FALSE))</f>
        <v/>
      </c>
      <c r="B117" s="60" t="str">
        <f>IF(E117="","",VLOOKUP('OPĆI DIO'!$C$3,'OPĆI DIO'!$L$6:$U$138,9,FALSE))</f>
        <v/>
      </c>
      <c r="C117" s="103" t="str">
        <f t="shared" si="5"/>
        <v/>
      </c>
      <c r="D117" s="59" t="str">
        <f t="shared" si="6"/>
        <v/>
      </c>
      <c r="E117" s="68"/>
      <c r="F117" s="106" t="str">
        <f t="shared" si="7"/>
        <v/>
      </c>
      <c r="G117" s="101"/>
      <c r="H117" s="101"/>
      <c r="I117" s="101"/>
      <c r="J117" s="68"/>
      <c r="L117" t="str">
        <f t="shared" si="8"/>
        <v/>
      </c>
      <c r="M117" t="str">
        <f t="shared" si="9"/>
        <v/>
      </c>
    </row>
    <row r="118" spans="1:23">
      <c r="A118" s="60" t="str">
        <f>IF(E118="","",VLOOKUP('OPĆI DIO'!$C$3,'OPĆI DIO'!$L$6:$U$138,10,FALSE))</f>
        <v/>
      </c>
      <c r="B118" s="60" t="str">
        <f>IF(E118="","",VLOOKUP('OPĆI DIO'!$C$3,'OPĆI DIO'!$L$6:$U$138,9,FALSE))</f>
        <v/>
      </c>
      <c r="C118" s="103" t="str">
        <f t="shared" si="5"/>
        <v/>
      </c>
      <c r="D118" s="59" t="str">
        <f t="shared" si="6"/>
        <v/>
      </c>
      <c r="E118" s="68"/>
      <c r="F118" s="106" t="str">
        <f t="shared" si="7"/>
        <v/>
      </c>
      <c r="G118" s="101"/>
      <c r="H118" s="101"/>
      <c r="I118" s="101"/>
      <c r="J118" s="68"/>
      <c r="L118" t="str">
        <f t="shared" si="8"/>
        <v/>
      </c>
      <c r="M118" t="str">
        <f t="shared" si="9"/>
        <v/>
      </c>
    </row>
    <row r="119" spans="1:23">
      <c r="A119" s="60" t="str">
        <f>IF(E119="","",VLOOKUP('OPĆI DIO'!$C$3,'OPĆI DIO'!$L$6:$U$138,10,FALSE))</f>
        <v/>
      </c>
      <c r="B119" s="60" t="str">
        <f>IF(E119="","",VLOOKUP('OPĆI DIO'!$C$3,'OPĆI DIO'!$L$6:$U$138,9,FALSE))</f>
        <v/>
      </c>
      <c r="C119" s="103" t="str">
        <f t="shared" si="5"/>
        <v/>
      </c>
      <c r="D119" s="59" t="str">
        <f t="shared" si="6"/>
        <v/>
      </c>
      <c r="E119" s="68"/>
      <c r="F119" s="106" t="str">
        <f t="shared" si="7"/>
        <v/>
      </c>
      <c r="G119" s="101"/>
      <c r="H119" s="101"/>
      <c r="I119" s="101"/>
      <c r="J119" s="68"/>
      <c r="L119" t="str">
        <f t="shared" si="8"/>
        <v/>
      </c>
      <c r="M119" t="str">
        <f t="shared" si="9"/>
        <v/>
      </c>
    </row>
    <row r="120" spans="1:23">
      <c r="A120" s="60" t="str">
        <f>IF(E120="","",VLOOKUP('OPĆI DIO'!$C$3,'OPĆI DIO'!$L$6:$U$138,10,FALSE))</f>
        <v/>
      </c>
      <c r="B120" s="60" t="str">
        <f>IF(E120="","",VLOOKUP('OPĆI DIO'!$C$3,'OPĆI DIO'!$L$6:$U$138,9,FALSE))</f>
        <v/>
      </c>
      <c r="C120" s="103" t="str">
        <f t="shared" si="5"/>
        <v/>
      </c>
      <c r="D120" s="59" t="str">
        <f t="shared" si="6"/>
        <v/>
      </c>
      <c r="E120" s="68"/>
      <c r="F120" s="106" t="str">
        <f t="shared" si="7"/>
        <v/>
      </c>
      <c r="G120" s="101"/>
      <c r="H120" s="101"/>
      <c r="I120" s="101"/>
      <c r="J120" s="68"/>
      <c r="L120" t="str">
        <f t="shared" si="8"/>
        <v/>
      </c>
      <c r="M120" t="str">
        <f t="shared" si="9"/>
        <v/>
      </c>
    </row>
    <row r="121" spans="1:23">
      <c r="A121" s="60" t="str">
        <f>IF(E121="","",VLOOKUP('OPĆI DIO'!$C$3,'OPĆI DIO'!$L$6:$U$138,10,FALSE))</f>
        <v/>
      </c>
      <c r="B121" s="60" t="str">
        <f>IF(E121="","",VLOOKUP('OPĆI DIO'!$C$3,'OPĆI DIO'!$L$6:$U$138,9,FALSE))</f>
        <v/>
      </c>
      <c r="C121" s="103" t="str">
        <f t="shared" si="5"/>
        <v/>
      </c>
      <c r="D121" s="59" t="str">
        <f t="shared" si="6"/>
        <v/>
      </c>
      <c r="E121" s="68"/>
      <c r="F121" s="106" t="str">
        <f t="shared" si="7"/>
        <v/>
      </c>
      <c r="G121" s="101"/>
      <c r="H121" s="101"/>
      <c r="I121" s="101"/>
      <c r="J121" s="68"/>
      <c r="L121" t="str">
        <f t="shared" si="8"/>
        <v/>
      </c>
      <c r="M121" t="str">
        <f t="shared" si="9"/>
        <v/>
      </c>
    </row>
    <row r="122" spans="1:23">
      <c r="A122" s="60" t="str">
        <f>IF(E122="","",VLOOKUP('OPĆI DIO'!$C$3,'OPĆI DIO'!$L$6:$U$138,10,FALSE))</f>
        <v/>
      </c>
      <c r="B122" s="60" t="str">
        <f>IF(E122="","",VLOOKUP('OPĆI DIO'!$C$3,'OPĆI DIO'!$L$6:$U$138,9,FALSE))</f>
        <v/>
      </c>
      <c r="C122" s="103" t="str">
        <f t="shared" si="5"/>
        <v/>
      </c>
      <c r="D122" s="59" t="str">
        <f t="shared" si="6"/>
        <v/>
      </c>
      <c r="E122" s="68"/>
      <c r="F122" s="106" t="str">
        <f t="shared" si="7"/>
        <v/>
      </c>
      <c r="G122" s="101"/>
      <c r="H122" s="101"/>
      <c r="I122" s="101"/>
      <c r="J122" s="68"/>
      <c r="L122" t="str">
        <f t="shared" si="8"/>
        <v/>
      </c>
      <c r="M122" t="str">
        <f t="shared" si="9"/>
        <v/>
      </c>
    </row>
    <row r="123" spans="1:23">
      <c r="A123" s="60" t="str">
        <f>IF(E123="","",VLOOKUP('OPĆI DIO'!$C$3,'OPĆI DIO'!$L$6:$U$138,10,FALSE))</f>
        <v/>
      </c>
      <c r="B123" s="60" t="str">
        <f>IF(E123="","",VLOOKUP('OPĆI DIO'!$C$3,'OPĆI DIO'!$L$6:$U$138,9,FALSE))</f>
        <v/>
      </c>
      <c r="C123" s="103" t="str">
        <f t="shared" si="5"/>
        <v/>
      </c>
      <c r="D123" s="59" t="str">
        <f t="shared" si="6"/>
        <v/>
      </c>
      <c r="E123" s="68"/>
      <c r="F123" s="106" t="str">
        <f t="shared" si="7"/>
        <v/>
      </c>
      <c r="G123" s="101"/>
      <c r="H123" s="101"/>
      <c r="I123" s="101"/>
      <c r="J123" s="68"/>
      <c r="L123" t="str">
        <f t="shared" si="8"/>
        <v/>
      </c>
      <c r="M123" t="str">
        <f t="shared" si="9"/>
        <v/>
      </c>
    </row>
    <row r="124" spans="1:23">
      <c r="A124" s="60" t="str">
        <f>IF(E124="","",VLOOKUP('OPĆI DIO'!$C$3,'OPĆI DIO'!$L$6:$U$138,10,FALSE))</f>
        <v/>
      </c>
      <c r="B124" s="60" t="str">
        <f>IF(E124="","",VLOOKUP('OPĆI DIO'!$C$3,'OPĆI DIO'!$L$6:$U$138,9,FALSE))</f>
        <v/>
      </c>
      <c r="C124" s="103" t="str">
        <f t="shared" si="5"/>
        <v/>
      </c>
      <c r="D124" s="59" t="str">
        <f t="shared" si="6"/>
        <v/>
      </c>
      <c r="E124" s="68"/>
      <c r="F124" s="106" t="str">
        <f t="shared" si="7"/>
        <v/>
      </c>
      <c r="G124" s="101"/>
      <c r="H124" s="101"/>
      <c r="I124" s="101"/>
      <c r="J124" s="68"/>
      <c r="L124" t="str">
        <f t="shared" si="8"/>
        <v/>
      </c>
      <c r="M124" t="str">
        <f t="shared" si="9"/>
        <v/>
      </c>
    </row>
    <row r="125" spans="1:23">
      <c r="A125" s="60" t="str">
        <f>IF(E125="","",VLOOKUP('OPĆI DIO'!$C$3,'OPĆI DIO'!$L$6:$U$138,10,FALSE))</f>
        <v/>
      </c>
      <c r="B125" s="60" t="str">
        <f>IF(E125="","",VLOOKUP('OPĆI DIO'!$C$3,'OPĆI DIO'!$L$6:$U$138,9,FALSE))</f>
        <v/>
      </c>
      <c r="C125" s="103" t="str">
        <f t="shared" si="5"/>
        <v/>
      </c>
      <c r="D125" s="59" t="str">
        <f t="shared" si="6"/>
        <v/>
      </c>
      <c r="E125" s="68"/>
      <c r="F125" s="106" t="str">
        <f t="shared" si="7"/>
        <v/>
      </c>
      <c r="G125" s="101"/>
      <c r="H125" s="101"/>
      <c r="I125" s="101"/>
      <c r="J125" s="68"/>
      <c r="L125" t="str">
        <f t="shared" si="8"/>
        <v/>
      </c>
      <c r="M125" t="str">
        <f t="shared" si="9"/>
        <v/>
      </c>
    </row>
    <row r="126" spans="1:23">
      <c r="A126" s="60" t="str">
        <f>IF(E126="","",VLOOKUP('OPĆI DIO'!$C$3,'OPĆI DIO'!$L$6:$U$138,10,FALSE))</f>
        <v/>
      </c>
      <c r="B126" s="60" t="str">
        <f>IF(E126="","",VLOOKUP('OPĆI DIO'!$C$3,'OPĆI DIO'!$L$6:$U$138,9,FALSE))</f>
        <v/>
      </c>
      <c r="C126" s="103" t="str">
        <f t="shared" si="5"/>
        <v/>
      </c>
      <c r="D126" s="59" t="str">
        <f t="shared" si="6"/>
        <v/>
      </c>
      <c r="E126" s="68"/>
      <c r="F126" s="106" t="str">
        <f t="shared" si="7"/>
        <v/>
      </c>
      <c r="G126" s="101"/>
      <c r="H126" s="101"/>
      <c r="I126" s="101"/>
      <c r="J126" s="68"/>
      <c r="L126" t="str">
        <f t="shared" si="8"/>
        <v/>
      </c>
      <c r="M126" t="str">
        <f t="shared" si="9"/>
        <v/>
      </c>
    </row>
    <row r="127" spans="1:23">
      <c r="A127" s="60" t="str">
        <f>IF(E127="","",VLOOKUP('OPĆI DIO'!$C$3,'OPĆI DIO'!$L$6:$U$138,10,FALSE))</f>
        <v/>
      </c>
      <c r="B127" s="60" t="str">
        <f>IF(E127="","",VLOOKUP('OPĆI DIO'!$C$3,'OPĆI DIO'!$L$6:$U$138,9,FALSE))</f>
        <v/>
      </c>
      <c r="C127" s="103" t="str">
        <f t="shared" si="5"/>
        <v/>
      </c>
      <c r="D127" s="59" t="str">
        <f t="shared" si="6"/>
        <v/>
      </c>
      <c r="E127" s="68"/>
      <c r="F127" s="106" t="str">
        <f t="shared" si="7"/>
        <v/>
      </c>
      <c r="G127" s="101"/>
      <c r="H127" s="101"/>
      <c r="I127" s="101"/>
      <c r="J127" s="68"/>
      <c r="L127" t="str">
        <f t="shared" si="8"/>
        <v/>
      </c>
      <c r="M127" t="str">
        <f t="shared" si="9"/>
        <v/>
      </c>
    </row>
    <row r="128" spans="1:23">
      <c r="A128" s="60" t="str">
        <f>IF(E128="","",VLOOKUP('OPĆI DIO'!$C$3,'OPĆI DIO'!$L$6:$U$138,10,FALSE))</f>
        <v/>
      </c>
      <c r="B128" s="60" t="str">
        <f>IF(E128="","",VLOOKUP('OPĆI DIO'!$C$3,'OPĆI DIO'!$L$6:$U$138,9,FALSE))</f>
        <v/>
      </c>
      <c r="C128" s="103" t="str">
        <f t="shared" si="5"/>
        <v/>
      </c>
      <c r="D128" s="59" t="str">
        <f t="shared" si="6"/>
        <v/>
      </c>
      <c r="E128" s="68"/>
      <c r="F128" s="106" t="str">
        <f t="shared" si="7"/>
        <v/>
      </c>
      <c r="G128" s="101"/>
      <c r="H128" s="101"/>
      <c r="I128" s="101"/>
      <c r="J128" s="68"/>
      <c r="L128" t="str">
        <f t="shared" si="8"/>
        <v/>
      </c>
      <c r="M128" t="str">
        <f t="shared" si="9"/>
        <v/>
      </c>
    </row>
    <row r="129" spans="1:13">
      <c r="A129" s="60" t="str">
        <f>IF(E129="","",VLOOKUP('OPĆI DIO'!$C$3,'OPĆI DIO'!$L$6:$U$138,10,FALSE))</f>
        <v/>
      </c>
      <c r="B129" s="60" t="str">
        <f>IF(E129="","",VLOOKUP('OPĆI DIO'!$C$3,'OPĆI DIO'!$L$6:$U$138,9,FALSE))</f>
        <v/>
      </c>
      <c r="C129" s="103" t="str">
        <f t="shared" si="5"/>
        <v/>
      </c>
      <c r="D129" s="59" t="str">
        <f t="shared" si="6"/>
        <v/>
      </c>
      <c r="E129" s="68"/>
      <c r="F129" s="106" t="str">
        <f t="shared" si="7"/>
        <v/>
      </c>
      <c r="G129" s="101"/>
      <c r="H129" s="101"/>
      <c r="I129" s="101"/>
      <c r="J129" s="68"/>
      <c r="L129" t="str">
        <f t="shared" si="8"/>
        <v/>
      </c>
      <c r="M129" t="str">
        <f t="shared" si="9"/>
        <v/>
      </c>
    </row>
    <row r="130" spans="1:13">
      <c r="A130" s="60" t="str">
        <f>IF(E130="","",VLOOKUP('OPĆI DIO'!$C$3,'OPĆI DIO'!$L$6:$U$138,10,FALSE))</f>
        <v/>
      </c>
      <c r="B130" s="60" t="str">
        <f>IF(E130="","",VLOOKUP('OPĆI DIO'!$C$3,'OPĆI DIO'!$L$6:$U$138,9,FALSE))</f>
        <v/>
      </c>
      <c r="C130" s="103" t="str">
        <f t="shared" si="5"/>
        <v/>
      </c>
      <c r="D130" s="59" t="str">
        <f t="shared" si="6"/>
        <v/>
      </c>
      <c r="E130" s="68"/>
      <c r="F130" s="106" t="str">
        <f t="shared" si="7"/>
        <v/>
      </c>
      <c r="G130" s="101"/>
      <c r="H130" s="101"/>
      <c r="I130" s="101"/>
      <c r="J130" s="68"/>
      <c r="L130" t="str">
        <f t="shared" si="8"/>
        <v/>
      </c>
      <c r="M130" t="str">
        <f t="shared" si="9"/>
        <v/>
      </c>
    </row>
    <row r="131" spans="1:13">
      <c r="A131" s="60" t="str">
        <f>IF(E131="","",VLOOKUP('OPĆI DIO'!$C$3,'OPĆI DIO'!$L$6:$U$138,10,FALSE))</f>
        <v/>
      </c>
      <c r="B131" s="60" t="str">
        <f>IF(E131="","",VLOOKUP('OPĆI DIO'!$C$3,'OPĆI DIO'!$L$6:$U$138,9,FALSE))</f>
        <v/>
      </c>
      <c r="C131" s="103" t="str">
        <f t="shared" ref="C131:C194" si="10">IFERROR(VLOOKUP(E131,$R$6:$U$113,3,FALSE),"")</f>
        <v/>
      </c>
      <c r="D131" s="59" t="str">
        <f t="shared" ref="D131:D194" si="11">IFERROR(VLOOKUP(E131,$R$6:$U$113,4,FALSE),"")</f>
        <v/>
      </c>
      <c r="E131" s="68"/>
      <c r="F131" s="106" t="str">
        <f t="shared" ref="F131:F194" si="12">IFERROR(VLOOKUP(E131,$R$6:$U$113,2,FALSE),"")</f>
        <v/>
      </c>
      <c r="G131" s="101"/>
      <c r="H131" s="101"/>
      <c r="I131" s="101"/>
      <c r="J131" s="68"/>
      <c r="L131" t="str">
        <f t="shared" si="8"/>
        <v/>
      </c>
      <c r="M131" t="str">
        <f t="shared" si="9"/>
        <v/>
      </c>
    </row>
    <row r="132" spans="1:13">
      <c r="A132" s="60" t="str">
        <f>IF(E132="","",VLOOKUP('OPĆI DIO'!$C$3,'OPĆI DIO'!$L$6:$U$138,10,FALSE))</f>
        <v/>
      </c>
      <c r="B132" s="60" t="str">
        <f>IF(E132="","",VLOOKUP('OPĆI DIO'!$C$3,'OPĆI DIO'!$L$6:$U$138,9,FALSE))</f>
        <v/>
      </c>
      <c r="C132" s="103" t="str">
        <f t="shared" si="10"/>
        <v/>
      </c>
      <c r="D132" s="59" t="str">
        <f t="shared" si="11"/>
        <v/>
      </c>
      <c r="E132" s="68"/>
      <c r="F132" s="106" t="str">
        <f t="shared" si="12"/>
        <v/>
      </c>
      <c r="G132" s="101"/>
      <c r="H132" s="101"/>
      <c r="I132" s="101"/>
      <c r="J132" s="68"/>
      <c r="L132" t="str">
        <f t="shared" ref="L132:L195" si="13">LEFT(E132,2)</f>
        <v/>
      </c>
      <c r="M132" t="str">
        <f t="shared" ref="M132:M195" si="14">LEFT(E132,3)</f>
        <v/>
      </c>
    </row>
    <row r="133" spans="1:13">
      <c r="A133" s="60" t="str">
        <f>IF(E133="","",VLOOKUP('OPĆI DIO'!$C$3,'OPĆI DIO'!$L$6:$U$138,10,FALSE))</f>
        <v/>
      </c>
      <c r="B133" s="60" t="str">
        <f>IF(E133="","",VLOOKUP('OPĆI DIO'!$C$3,'OPĆI DIO'!$L$6:$U$138,9,FALSE))</f>
        <v/>
      </c>
      <c r="C133" s="103" t="str">
        <f t="shared" si="10"/>
        <v/>
      </c>
      <c r="D133" s="59" t="str">
        <f t="shared" si="11"/>
        <v/>
      </c>
      <c r="E133" s="68"/>
      <c r="F133" s="106" t="str">
        <f t="shared" si="12"/>
        <v/>
      </c>
      <c r="G133" s="101"/>
      <c r="H133" s="101"/>
      <c r="I133" s="101"/>
      <c r="J133" s="68"/>
      <c r="L133" t="str">
        <f t="shared" si="13"/>
        <v/>
      </c>
      <c r="M133" t="str">
        <f t="shared" si="14"/>
        <v/>
      </c>
    </row>
    <row r="134" spans="1:13">
      <c r="A134" s="60" t="str">
        <f>IF(E134="","",VLOOKUP('OPĆI DIO'!$C$3,'OPĆI DIO'!$L$6:$U$138,10,FALSE))</f>
        <v/>
      </c>
      <c r="B134" s="60" t="str">
        <f>IF(E134="","",VLOOKUP('OPĆI DIO'!$C$3,'OPĆI DIO'!$L$6:$U$138,9,FALSE))</f>
        <v/>
      </c>
      <c r="C134" s="103" t="str">
        <f t="shared" si="10"/>
        <v/>
      </c>
      <c r="D134" s="59" t="str">
        <f t="shared" si="11"/>
        <v/>
      </c>
      <c r="E134" s="68"/>
      <c r="F134" s="106" t="str">
        <f t="shared" si="12"/>
        <v/>
      </c>
      <c r="G134" s="101"/>
      <c r="H134" s="101"/>
      <c r="I134" s="101"/>
      <c r="J134" s="68"/>
      <c r="L134" t="str">
        <f t="shared" si="13"/>
        <v/>
      </c>
      <c r="M134" t="str">
        <f t="shared" si="14"/>
        <v/>
      </c>
    </row>
    <row r="135" spans="1:13">
      <c r="A135" s="60" t="str">
        <f>IF(E135="","",VLOOKUP('OPĆI DIO'!$C$3,'OPĆI DIO'!$L$6:$U$138,10,FALSE))</f>
        <v/>
      </c>
      <c r="B135" s="60" t="str">
        <f>IF(E135="","",VLOOKUP('OPĆI DIO'!$C$3,'OPĆI DIO'!$L$6:$U$138,9,FALSE))</f>
        <v/>
      </c>
      <c r="C135" s="103" t="str">
        <f t="shared" si="10"/>
        <v/>
      </c>
      <c r="D135" s="59" t="str">
        <f t="shared" si="11"/>
        <v/>
      </c>
      <c r="E135" s="68"/>
      <c r="F135" s="106" t="str">
        <f t="shared" si="12"/>
        <v/>
      </c>
      <c r="G135" s="101"/>
      <c r="H135" s="101"/>
      <c r="I135" s="101"/>
      <c r="J135" s="68"/>
      <c r="L135" t="str">
        <f t="shared" si="13"/>
        <v/>
      </c>
      <c r="M135" t="str">
        <f t="shared" si="14"/>
        <v/>
      </c>
    </row>
    <row r="136" spans="1:13">
      <c r="A136" s="60" t="str">
        <f>IF(E136="","",VLOOKUP('OPĆI DIO'!$C$3,'OPĆI DIO'!$L$6:$U$138,10,FALSE))</f>
        <v/>
      </c>
      <c r="B136" s="60" t="str">
        <f>IF(E136="","",VLOOKUP('OPĆI DIO'!$C$3,'OPĆI DIO'!$L$6:$U$138,9,FALSE))</f>
        <v/>
      </c>
      <c r="C136" s="103" t="str">
        <f t="shared" si="10"/>
        <v/>
      </c>
      <c r="D136" s="59" t="str">
        <f t="shared" si="11"/>
        <v/>
      </c>
      <c r="E136" s="68"/>
      <c r="F136" s="106" t="str">
        <f t="shared" si="12"/>
        <v/>
      </c>
      <c r="G136" s="101"/>
      <c r="H136" s="101"/>
      <c r="I136" s="101"/>
      <c r="J136" s="68"/>
      <c r="L136" t="str">
        <f t="shared" si="13"/>
        <v/>
      </c>
      <c r="M136" t="str">
        <f t="shared" si="14"/>
        <v/>
      </c>
    </row>
    <row r="137" spans="1:13">
      <c r="A137" s="60" t="str">
        <f>IF(E137="","",VLOOKUP('OPĆI DIO'!$C$3,'OPĆI DIO'!$L$6:$U$138,10,FALSE))</f>
        <v/>
      </c>
      <c r="B137" s="60" t="str">
        <f>IF(E137="","",VLOOKUP('OPĆI DIO'!$C$3,'OPĆI DIO'!$L$6:$U$138,9,FALSE))</f>
        <v/>
      </c>
      <c r="C137" s="103" t="str">
        <f t="shared" si="10"/>
        <v/>
      </c>
      <c r="D137" s="59" t="str">
        <f t="shared" si="11"/>
        <v/>
      </c>
      <c r="E137" s="68"/>
      <c r="F137" s="106" t="str">
        <f t="shared" si="12"/>
        <v/>
      </c>
      <c r="G137" s="101"/>
      <c r="H137" s="101"/>
      <c r="I137" s="101"/>
      <c r="J137" s="68"/>
      <c r="L137" t="str">
        <f t="shared" si="13"/>
        <v/>
      </c>
      <c r="M137" t="str">
        <f t="shared" si="14"/>
        <v/>
      </c>
    </row>
    <row r="138" spans="1:13">
      <c r="A138" s="60" t="str">
        <f>IF(E138="","",VLOOKUP('OPĆI DIO'!$C$3,'OPĆI DIO'!$L$6:$U$138,10,FALSE))</f>
        <v/>
      </c>
      <c r="B138" s="60" t="str">
        <f>IF(E138="","",VLOOKUP('OPĆI DIO'!$C$3,'OPĆI DIO'!$L$6:$U$138,9,FALSE))</f>
        <v/>
      </c>
      <c r="C138" s="103" t="str">
        <f t="shared" si="10"/>
        <v/>
      </c>
      <c r="D138" s="59" t="str">
        <f t="shared" si="11"/>
        <v/>
      </c>
      <c r="E138" s="68"/>
      <c r="F138" s="106" t="str">
        <f t="shared" si="12"/>
        <v/>
      </c>
      <c r="G138" s="101"/>
      <c r="H138" s="101"/>
      <c r="I138" s="101"/>
      <c r="J138" s="68"/>
      <c r="L138" t="str">
        <f t="shared" si="13"/>
        <v/>
      </c>
      <c r="M138" t="str">
        <f t="shared" si="14"/>
        <v/>
      </c>
    </row>
    <row r="139" spans="1:13">
      <c r="A139" s="60" t="str">
        <f>IF(E139="","",VLOOKUP('OPĆI DIO'!$C$3,'OPĆI DIO'!$L$6:$U$138,10,FALSE))</f>
        <v/>
      </c>
      <c r="B139" s="60" t="str">
        <f>IF(E139="","",VLOOKUP('OPĆI DIO'!$C$3,'OPĆI DIO'!$L$6:$U$138,9,FALSE))</f>
        <v/>
      </c>
      <c r="C139" s="103" t="str">
        <f t="shared" si="10"/>
        <v/>
      </c>
      <c r="D139" s="59" t="str">
        <f t="shared" si="11"/>
        <v/>
      </c>
      <c r="E139" s="68"/>
      <c r="F139" s="106" t="str">
        <f t="shared" si="12"/>
        <v/>
      </c>
      <c r="G139" s="101"/>
      <c r="H139" s="101"/>
      <c r="I139" s="101"/>
      <c r="J139" s="68"/>
      <c r="L139" t="str">
        <f t="shared" si="13"/>
        <v/>
      </c>
      <c r="M139" t="str">
        <f t="shared" si="14"/>
        <v/>
      </c>
    </row>
    <row r="140" spans="1:13">
      <c r="A140" s="60" t="str">
        <f>IF(E140="","",VLOOKUP('OPĆI DIO'!$C$3,'OPĆI DIO'!$L$6:$U$138,10,FALSE))</f>
        <v/>
      </c>
      <c r="B140" s="60" t="str">
        <f>IF(E140="","",VLOOKUP('OPĆI DIO'!$C$3,'OPĆI DIO'!$L$6:$U$138,9,FALSE))</f>
        <v/>
      </c>
      <c r="C140" s="103" t="str">
        <f t="shared" si="10"/>
        <v/>
      </c>
      <c r="D140" s="59" t="str">
        <f t="shared" si="11"/>
        <v/>
      </c>
      <c r="E140" s="68"/>
      <c r="F140" s="106" t="str">
        <f t="shared" si="12"/>
        <v/>
      </c>
      <c r="G140" s="101"/>
      <c r="H140" s="101"/>
      <c r="I140" s="101"/>
      <c r="J140" s="68"/>
      <c r="L140" t="str">
        <f t="shared" si="13"/>
        <v/>
      </c>
      <c r="M140" t="str">
        <f t="shared" si="14"/>
        <v/>
      </c>
    </row>
    <row r="141" spans="1:13">
      <c r="A141" s="60" t="str">
        <f>IF(E141="","",VLOOKUP('OPĆI DIO'!$C$3,'OPĆI DIO'!$L$6:$U$138,10,FALSE))</f>
        <v/>
      </c>
      <c r="B141" s="60" t="str">
        <f>IF(E141="","",VLOOKUP('OPĆI DIO'!$C$3,'OPĆI DIO'!$L$6:$U$138,9,FALSE))</f>
        <v/>
      </c>
      <c r="C141" s="103" t="str">
        <f t="shared" si="10"/>
        <v/>
      </c>
      <c r="D141" s="59" t="str">
        <f t="shared" si="11"/>
        <v/>
      </c>
      <c r="E141" s="68"/>
      <c r="F141" s="106" t="str">
        <f t="shared" si="12"/>
        <v/>
      </c>
      <c r="G141" s="101"/>
      <c r="H141" s="101"/>
      <c r="I141" s="101"/>
      <c r="J141" s="68"/>
      <c r="L141" t="str">
        <f t="shared" si="13"/>
        <v/>
      </c>
      <c r="M141" t="str">
        <f t="shared" si="14"/>
        <v/>
      </c>
    </row>
    <row r="142" spans="1:13">
      <c r="A142" s="60" t="str">
        <f>IF(E142="","",VLOOKUP('OPĆI DIO'!$C$3,'OPĆI DIO'!$L$6:$U$138,10,FALSE))</f>
        <v/>
      </c>
      <c r="B142" s="60" t="str">
        <f>IF(E142="","",VLOOKUP('OPĆI DIO'!$C$3,'OPĆI DIO'!$L$6:$U$138,9,FALSE))</f>
        <v/>
      </c>
      <c r="C142" s="103" t="str">
        <f t="shared" si="10"/>
        <v/>
      </c>
      <c r="D142" s="59" t="str">
        <f t="shared" si="11"/>
        <v/>
      </c>
      <c r="E142" s="68"/>
      <c r="F142" s="106" t="str">
        <f t="shared" si="12"/>
        <v/>
      </c>
      <c r="G142" s="101"/>
      <c r="H142" s="101"/>
      <c r="I142" s="101"/>
      <c r="J142" s="68"/>
      <c r="L142" t="str">
        <f t="shared" si="13"/>
        <v/>
      </c>
      <c r="M142" t="str">
        <f t="shared" si="14"/>
        <v/>
      </c>
    </row>
    <row r="143" spans="1:13">
      <c r="A143" s="60" t="str">
        <f>IF(E143="","",VLOOKUP('OPĆI DIO'!$C$3,'OPĆI DIO'!$L$6:$U$138,10,FALSE))</f>
        <v/>
      </c>
      <c r="B143" s="60" t="str">
        <f>IF(E143="","",VLOOKUP('OPĆI DIO'!$C$3,'OPĆI DIO'!$L$6:$U$138,9,FALSE))</f>
        <v/>
      </c>
      <c r="C143" s="103" t="str">
        <f t="shared" si="10"/>
        <v/>
      </c>
      <c r="D143" s="59" t="str">
        <f t="shared" si="11"/>
        <v/>
      </c>
      <c r="E143" s="68"/>
      <c r="F143" s="106" t="str">
        <f t="shared" si="12"/>
        <v/>
      </c>
      <c r="G143" s="101"/>
      <c r="H143" s="101"/>
      <c r="I143" s="101"/>
      <c r="J143" s="68"/>
      <c r="L143" t="str">
        <f t="shared" si="13"/>
        <v/>
      </c>
      <c r="M143" t="str">
        <f t="shared" si="14"/>
        <v/>
      </c>
    </row>
    <row r="144" spans="1:13">
      <c r="A144" s="60" t="str">
        <f>IF(E144="","",VLOOKUP('OPĆI DIO'!$C$3,'OPĆI DIO'!$L$6:$U$138,10,FALSE))</f>
        <v/>
      </c>
      <c r="B144" s="60" t="str">
        <f>IF(E144="","",VLOOKUP('OPĆI DIO'!$C$3,'OPĆI DIO'!$L$6:$U$138,9,FALSE))</f>
        <v/>
      </c>
      <c r="C144" s="103" t="str">
        <f t="shared" si="10"/>
        <v/>
      </c>
      <c r="D144" s="59" t="str">
        <f t="shared" si="11"/>
        <v/>
      </c>
      <c r="E144" s="68"/>
      <c r="F144" s="106" t="str">
        <f t="shared" si="12"/>
        <v/>
      </c>
      <c r="G144" s="101"/>
      <c r="H144" s="101"/>
      <c r="I144" s="101"/>
      <c r="J144" s="68"/>
      <c r="L144" t="str">
        <f t="shared" si="13"/>
        <v/>
      </c>
      <c r="M144" t="str">
        <f t="shared" si="14"/>
        <v/>
      </c>
    </row>
    <row r="145" spans="1:13">
      <c r="A145" s="60" t="str">
        <f>IF(E145="","",VLOOKUP('OPĆI DIO'!$C$3,'OPĆI DIO'!$L$6:$U$138,10,FALSE))</f>
        <v/>
      </c>
      <c r="B145" s="60" t="str">
        <f>IF(E145="","",VLOOKUP('OPĆI DIO'!$C$3,'OPĆI DIO'!$L$6:$U$138,9,FALSE))</f>
        <v/>
      </c>
      <c r="C145" s="103" t="str">
        <f t="shared" si="10"/>
        <v/>
      </c>
      <c r="D145" s="59" t="str">
        <f t="shared" si="11"/>
        <v/>
      </c>
      <c r="E145" s="68"/>
      <c r="F145" s="106" t="str">
        <f t="shared" si="12"/>
        <v/>
      </c>
      <c r="G145" s="101"/>
      <c r="H145" s="101"/>
      <c r="I145" s="101"/>
      <c r="J145" s="68"/>
      <c r="L145" t="str">
        <f t="shared" si="13"/>
        <v/>
      </c>
      <c r="M145" t="str">
        <f t="shared" si="14"/>
        <v/>
      </c>
    </row>
    <row r="146" spans="1:13">
      <c r="A146" s="60" t="str">
        <f>IF(E146="","",VLOOKUP('OPĆI DIO'!$C$3,'OPĆI DIO'!$L$6:$U$138,10,FALSE))</f>
        <v/>
      </c>
      <c r="B146" s="60" t="str">
        <f>IF(E146="","",VLOOKUP('OPĆI DIO'!$C$3,'OPĆI DIO'!$L$6:$U$138,9,FALSE))</f>
        <v/>
      </c>
      <c r="C146" s="103" t="str">
        <f t="shared" si="10"/>
        <v/>
      </c>
      <c r="D146" s="59" t="str">
        <f t="shared" si="11"/>
        <v/>
      </c>
      <c r="E146" s="68"/>
      <c r="F146" s="106" t="str">
        <f t="shared" si="12"/>
        <v/>
      </c>
      <c r="G146" s="101"/>
      <c r="H146" s="101"/>
      <c r="I146" s="101"/>
      <c r="J146" s="68"/>
      <c r="L146" t="str">
        <f t="shared" si="13"/>
        <v/>
      </c>
      <c r="M146" t="str">
        <f t="shared" si="14"/>
        <v/>
      </c>
    </row>
    <row r="147" spans="1:13">
      <c r="A147" s="60" t="str">
        <f>IF(E147="","",VLOOKUP('OPĆI DIO'!$C$3,'OPĆI DIO'!$L$6:$U$138,10,FALSE))</f>
        <v/>
      </c>
      <c r="B147" s="60" t="str">
        <f>IF(E147="","",VLOOKUP('OPĆI DIO'!$C$3,'OPĆI DIO'!$L$6:$U$138,9,FALSE))</f>
        <v/>
      </c>
      <c r="C147" s="103" t="str">
        <f t="shared" si="10"/>
        <v/>
      </c>
      <c r="D147" s="59" t="str">
        <f t="shared" si="11"/>
        <v/>
      </c>
      <c r="E147" s="68"/>
      <c r="F147" s="106" t="str">
        <f t="shared" si="12"/>
        <v/>
      </c>
      <c r="G147" s="101"/>
      <c r="H147" s="101"/>
      <c r="I147" s="101"/>
      <c r="J147" s="68"/>
      <c r="L147" t="str">
        <f t="shared" si="13"/>
        <v/>
      </c>
      <c r="M147" t="str">
        <f t="shared" si="14"/>
        <v/>
      </c>
    </row>
    <row r="148" spans="1:13">
      <c r="A148" s="60" t="str">
        <f>IF(E148="","",VLOOKUP('OPĆI DIO'!$C$3,'OPĆI DIO'!$L$6:$U$138,10,FALSE))</f>
        <v/>
      </c>
      <c r="B148" s="60" t="str">
        <f>IF(E148="","",VLOOKUP('OPĆI DIO'!$C$3,'OPĆI DIO'!$L$6:$U$138,9,FALSE))</f>
        <v/>
      </c>
      <c r="C148" s="103" t="str">
        <f t="shared" si="10"/>
        <v/>
      </c>
      <c r="D148" s="59" t="str">
        <f t="shared" si="11"/>
        <v/>
      </c>
      <c r="E148" s="68"/>
      <c r="F148" s="106" t="str">
        <f t="shared" si="12"/>
        <v/>
      </c>
      <c r="G148" s="101"/>
      <c r="H148" s="101"/>
      <c r="I148" s="101"/>
      <c r="J148" s="68"/>
      <c r="L148" t="str">
        <f t="shared" si="13"/>
        <v/>
      </c>
      <c r="M148" t="str">
        <f t="shared" si="14"/>
        <v/>
      </c>
    </row>
    <row r="149" spans="1:13">
      <c r="A149" s="60" t="str">
        <f>IF(E149="","",VLOOKUP('OPĆI DIO'!$C$3,'OPĆI DIO'!$L$6:$U$138,10,FALSE))</f>
        <v/>
      </c>
      <c r="B149" s="60" t="str">
        <f>IF(E149="","",VLOOKUP('OPĆI DIO'!$C$3,'OPĆI DIO'!$L$6:$U$138,9,FALSE))</f>
        <v/>
      </c>
      <c r="C149" s="103" t="str">
        <f t="shared" si="10"/>
        <v/>
      </c>
      <c r="D149" s="59" t="str">
        <f t="shared" si="11"/>
        <v/>
      </c>
      <c r="E149" s="68"/>
      <c r="F149" s="106" t="str">
        <f t="shared" si="12"/>
        <v/>
      </c>
      <c r="G149" s="101"/>
      <c r="H149" s="101"/>
      <c r="I149" s="101"/>
      <c r="J149" s="68"/>
      <c r="L149" t="str">
        <f t="shared" si="13"/>
        <v/>
      </c>
      <c r="M149" t="str">
        <f t="shared" si="14"/>
        <v/>
      </c>
    </row>
    <row r="150" spans="1:13">
      <c r="A150" s="60" t="str">
        <f>IF(E150="","",VLOOKUP('OPĆI DIO'!$C$3,'OPĆI DIO'!$L$6:$U$138,10,FALSE))</f>
        <v/>
      </c>
      <c r="B150" s="60" t="str">
        <f>IF(E150="","",VLOOKUP('OPĆI DIO'!$C$3,'OPĆI DIO'!$L$6:$U$138,9,FALSE))</f>
        <v/>
      </c>
      <c r="C150" s="103" t="str">
        <f t="shared" si="10"/>
        <v/>
      </c>
      <c r="D150" s="59" t="str">
        <f t="shared" si="11"/>
        <v/>
      </c>
      <c r="E150" s="68"/>
      <c r="F150" s="106" t="str">
        <f t="shared" si="12"/>
        <v/>
      </c>
      <c r="G150" s="101"/>
      <c r="H150" s="101"/>
      <c r="I150" s="101"/>
      <c r="J150" s="68"/>
      <c r="L150" t="str">
        <f t="shared" si="13"/>
        <v/>
      </c>
      <c r="M150" t="str">
        <f t="shared" si="14"/>
        <v/>
      </c>
    </row>
    <row r="151" spans="1:13">
      <c r="A151" s="60" t="str">
        <f>IF(E151="","",VLOOKUP('OPĆI DIO'!$C$3,'OPĆI DIO'!$L$6:$U$138,10,FALSE))</f>
        <v/>
      </c>
      <c r="B151" s="60" t="str">
        <f>IF(E151="","",VLOOKUP('OPĆI DIO'!$C$3,'OPĆI DIO'!$L$6:$U$138,9,FALSE))</f>
        <v/>
      </c>
      <c r="C151" s="103" t="str">
        <f t="shared" si="10"/>
        <v/>
      </c>
      <c r="D151" s="59" t="str">
        <f t="shared" si="11"/>
        <v/>
      </c>
      <c r="E151" s="68"/>
      <c r="F151" s="106" t="str">
        <f t="shared" si="12"/>
        <v/>
      </c>
      <c r="G151" s="101"/>
      <c r="H151" s="101"/>
      <c r="I151" s="101"/>
      <c r="J151" s="68"/>
      <c r="L151" t="str">
        <f t="shared" si="13"/>
        <v/>
      </c>
      <c r="M151" t="str">
        <f t="shared" si="14"/>
        <v/>
      </c>
    </row>
    <row r="152" spans="1:13">
      <c r="A152" s="60" t="str">
        <f>IF(E152="","",VLOOKUP('OPĆI DIO'!$C$3,'OPĆI DIO'!$L$6:$U$138,10,FALSE))</f>
        <v/>
      </c>
      <c r="B152" s="60" t="str">
        <f>IF(E152="","",VLOOKUP('OPĆI DIO'!$C$3,'OPĆI DIO'!$L$6:$U$138,9,FALSE))</f>
        <v/>
      </c>
      <c r="C152" s="103" t="str">
        <f t="shared" si="10"/>
        <v/>
      </c>
      <c r="D152" s="59" t="str">
        <f t="shared" si="11"/>
        <v/>
      </c>
      <c r="E152" s="68"/>
      <c r="F152" s="106" t="str">
        <f t="shared" si="12"/>
        <v/>
      </c>
      <c r="G152" s="101"/>
      <c r="H152" s="101"/>
      <c r="I152" s="101"/>
      <c r="J152" s="68"/>
      <c r="L152" t="str">
        <f t="shared" si="13"/>
        <v/>
      </c>
      <c r="M152" t="str">
        <f t="shared" si="14"/>
        <v/>
      </c>
    </row>
    <row r="153" spans="1:13">
      <c r="A153" s="60" t="str">
        <f>IF(E153="","",VLOOKUP('OPĆI DIO'!$C$3,'OPĆI DIO'!$L$6:$U$138,10,FALSE))</f>
        <v/>
      </c>
      <c r="B153" s="60" t="str">
        <f>IF(E153="","",VLOOKUP('OPĆI DIO'!$C$3,'OPĆI DIO'!$L$6:$U$138,9,FALSE))</f>
        <v/>
      </c>
      <c r="C153" s="103" t="str">
        <f t="shared" si="10"/>
        <v/>
      </c>
      <c r="D153" s="59" t="str">
        <f t="shared" si="11"/>
        <v/>
      </c>
      <c r="E153" s="68"/>
      <c r="F153" s="106" t="str">
        <f t="shared" si="12"/>
        <v/>
      </c>
      <c r="G153" s="101"/>
      <c r="H153" s="101"/>
      <c r="I153" s="101"/>
      <c r="J153" s="68"/>
      <c r="L153" t="str">
        <f t="shared" si="13"/>
        <v/>
      </c>
      <c r="M153" t="str">
        <f t="shared" si="14"/>
        <v/>
      </c>
    </row>
    <row r="154" spans="1:13">
      <c r="A154" s="60" t="str">
        <f>IF(E154="","",VLOOKUP('OPĆI DIO'!$C$3,'OPĆI DIO'!$L$6:$U$138,10,FALSE))</f>
        <v/>
      </c>
      <c r="B154" s="60" t="str">
        <f>IF(E154="","",VLOOKUP('OPĆI DIO'!$C$3,'OPĆI DIO'!$L$6:$U$138,9,FALSE))</f>
        <v/>
      </c>
      <c r="C154" s="103" t="str">
        <f t="shared" si="10"/>
        <v/>
      </c>
      <c r="D154" s="59" t="str">
        <f t="shared" si="11"/>
        <v/>
      </c>
      <c r="E154" s="68"/>
      <c r="F154" s="106" t="str">
        <f t="shared" si="12"/>
        <v/>
      </c>
      <c r="G154" s="101"/>
      <c r="H154" s="101"/>
      <c r="I154" s="101"/>
      <c r="J154" s="68"/>
      <c r="L154" t="str">
        <f t="shared" si="13"/>
        <v/>
      </c>
      <c r="M154" t="str">
        <f t="shared" si="14"/>
        <v/>
      </c>
    </row>
    <row r="155" spans="1:13">
      <c r="A155" s="60" t="str">
        <f>IF(E155="","",VLOOKUP('OPĆI DIO'!$C$3,'OPĆI DIO'!$L$6:$U$138,10,FALSE))</f>
        <v/>
      </c>
      <c r="B155" s="60" t="str">
        <f>IF(E155="","",VLOOKUP('OPĆI DIO'!$C$3,'OPĆI DIO'!$L$6:$U$138,9,FALSE))</f>
        <v/>
      </c>
      <c r="C155" s="103" t="str">
        <f t="shared" si="10"/>
        <v/>
      </c>
      <c r="D155" s="59" t="str">
        <f t="shared" si="11"/>
        <v/>
      </c>
      <c r="E155" s="68"/>
      <c r="F155" s="106" t="str">
        <f t="shared" si="12"/>
        <v/>
      </c>
      <c r="G155" s="101"/>
      <c r="H155" s="101"/>
      <c r="I155" s="101"/>
      <c r="J155" s="68"/>
      <c r="L155" t="str">
        <f t="shared" si="13"/>
        <v/>
      </c>
      <c r="M155" t="str">
        <f t="shared" si="14"/>
        <v/>
      </c>
    </row>
    <row r="156" spans="1:13">
      <c r="A156" s="60" t="str">
        <f>IF(E156="","",VLOOKUP('OPĆI DIO'!$C$3,'OPĆI DIO'!$L$6:$U$138,10,FALSE))</f>
        <v/>
      </c>
      <c r="B156" s="60" t="str">
        <f>IF(E156="","",VLOOKUP('OPĆI DIO'!$C$3,'OPĆI DIO'!$L$6:$U$138,9,FALSE))</f>
        <v/>
      </c>
      <c r="C156" s="103" t="str">
        <f t="shared" si="10"/>
        <v/>
      </c>
      <c r="D156" s="59" t="str">
        <f t="shared" si="11"/>
        <v/>
      </c>
      <c r="E156" s="68"/>
      <c r="F156" s="106" t="str">
        <f t="shared" si="12"/>
        <v/>
      </c>
      <c r="G156" s="101"/>
      <c r="H156" s="101"/>
      <c r="I156" s="101"/>
      <c r="J156" s="68"/>
      <c r="L156" t="str">
        <f t="shared" si="13"/>
        <v/>
      </c>
      <c r="M156" t="str">
        <f t="shared" si="14"/>
        <v/>
      </c>
    </row>
    <row r="157" spans="1:13">
      <c r="A157" s="60" t="str">
        <f>IF(E157="","",VLOOKUP('OPĆI DIO'!$C$3,'OPĆI DIO'!$L$6:$U$138,10,FALSE))</f>
        <v/>
      </c>
      <c r="B157" s="60" t="str">
        <f>IF(E157="","",VLOOKUP('OPĆI DIO'!$C$3,'OPĆI DIO'!$L$6:$U$138,9,FALSE))</f>
        <v/>
      </c>
      <c r="C157" s="103" t="str">
        <f t="shared" si="10"/>
        <v/>
      </c>
      <c r="D157" s="59" t="str">
        <f t="shared" si="11"/>
        <v/>
      </c>
      <c r="E157" s="68"/>
      <c r="F157" s="106" t="str">
        <f t="shared" si="12"/>
        <v/>
      </c>
      <c r="G157" s="101"/>
      <c r="H157" s="101"/>
      <c r="I157" s="101"/>
      <c r="J157" s="68"/>
      <c r="L157" t="str">
        <f t="shared" si="13"/>
        <v/>
      </c>
      <c r="M157" t="str">
        <f t="shared" si="14"/>
        <v/>
      </c>
    </row>
    <row r="158" spans="1:13">
      <c r="A158" s="60" t="str">
        <f>IF(E158="","",VLOOKUP('OPĆI DIO'!$C$3,'OPĆI DIO'!$L$6:$U$138,10,FALSE))</f>
        <v/>
      </c>
      <c r="B158" s="60" t="str">
        <f>IF(E158="","",VLOOKUP('OPĆI DIO'!$C$3,'OPĆI DIO'!$L$6:$U$138,9,FALSE))</f>
        <v/>
      </c>
      <c r="C158" s="103" t="str">
        <f t="shared" si="10"/>
        <v/>
      </c>
      <c r="D158" s="59" t="str">
        <f t="shared" si="11"/>
        <v/>
      </c>
      <c r="E158" s="68"/>
      <c r="F158" s="106" t="str">
        <f t="shared" si="12"/>
        <v/>
      </c>
      <c r="G158" s="101"/>
      <c r="H158" s="101"/>
      <c r="I158" s="101"/>
      <c r="J158" s="68"/>
      <c r="L158" t="str">
        <f t="shared" si="13"/>
        <v/>
      </c>
      <c r="M158" t="str">
        <f t="shared" si="14"/>
        <v/>
      </c>
    </row>
    <row r="159" spans="1:13">
      <c r="A159" s="60" t="str">
        <f>IF(E159="","",VLOOKUP('OPĆI DIO'!$C$3,'OPĆI DIO'!$L$6:$U$138,10,FALSE))</f>
        <v/>
      </c>
      <c r="B159" s="60" t="str">
        <f>IF(E159="","",VLOOKUP('OPĆI DIO'!$C$3,'OPĆI DIO'!$L$6:$U$138,9,FALSE))</f>
        <v/>
      </c>
      <c r="C159" s="103" t="str">
        <f t="shared" si="10"/>
        <v/>
      </c>
      <c r="D159" s="59" t="str">
        <f t="shared" si="11"/>
        <v/>
      </c>
      <c r="E159" s="68"/>
      <c r="F159" s="106" t="str">
        <f t="shared" si="12"/>
        <v/>
      </c>
      <c r="G159" s="101"/>
      <c r="H159" s="101"/>
      <c r="I159" s="101"/>
      <c r="J159" s="68"/>
      <c r="L159" t="str">
        <f t="shared" si="13"/>
        <v/>
      </c>
      <c r="M159" t="str">
        <f t="shared" si="14"/>
        <v/>
      </c>
    </row>
    <row r="160" spans="1:13">
      <c r="A160" s="60" t="str">
        <f>IF(E160="","",VLOOKUP('OPĆI DIO'!$C$3,'OPĆI DIO'!$L$6:$U$138,10,FALSE))</f>
        <v/>
      </c>
      <c r="B160" s="60" t="str">
        <f>IF(E160="","",VLOOKUP('OPĆI DIO'!$C$3,'OPĆI DIO'!$L$6:$U$138,9,FALSE))</f>
        <v/>
      </c>
      <c r="C160" s="103" t="str">
        <f t="shared" si="10"/>
        <v/>
      </c>
      <c r="D160" s="59" t="str">
        <f t="shared" si="11"/>
        <v/>
      </c>
      <c r="E160" s="68"/>
      <c r="F160" s="106" t="str">
        <f t="shared" si="12"/>
        <v/>
      </c>
      <c r="G160" s="101"/>
      <c r="H160" s="101"/>
      <c r="I160" s="101"/>
      <c r="J160" s="68"/>
      <c r="L160" t="str">
        <f t="shared" si="13"/>
        <v/>
      </c>
      <c r="M160" t="str">
        <f t="shared" si="14"/>
        <v/>
      </c>
    </row>
    <row r="161" spans="1:13">
      <c r="A161" s="60" t="str">
        <f>IF(E161="","",VLOOKUP('OPĆI DIO'!$C$3,'OPĆI DIO'!$L$6:$U$138,10,FALSE))</f>
        <v/>
      </c>
      <c r="B161" s="60" t="str">
        <f>IF(E161="","",VLOOKUP('OPĆI DIO'!$C$3,'OPĆI DIO'!$L$6:$U$138,9,FALSE))</f>
        <v/>
      </c>
      <c r="C161" s="103" t="str">
        <f t="shared" si="10"/>
        <v/>
      </c>
      <c r="D161" s="59" t="str">
        <f t="shared" si="11"/>
        <v/>
      </c>
      <c r="E161" s="68"/>
      <c r="F161" s="106" t="str">
        <f t="shared" si="12"/>
        <v/>
      </c>
      <c r="G161" s="101"/>
      <c r="H161" s="101"/>
      <c r="I161" s="101"/>
      <c r="J161" s="68"/>
      <c r="L161" t="str">
        <f t="shared" si="13"/>
        <v/>
      </c>
      <c r="M161" t="str">
        <f t="shared" si="14"/>
        <v/>
      </c>
    </row>
    <row r="162" spans="1:13">
      <c r="A162" s="60" t="str">
        <f>IF(E162="","",VLOOKUP('OPĆI DIO'!$C$3,'OPĆI DIO'!$L$6:$U$138,10,FALSE))</f>
        <v/>
      </c>
      <c r="B162" s="60" t="str">
        <f>IF(E162="","",VLOOKUP('OPĆI DIO'!$C$3,'OPĆI DIO'!$L$6:$U$138,9,FALSE))</f>
        <v/>
      </c>
      <c r="C162" s="103" t="str">
        <f t="shared" si="10"/>
        <v/>
      </c>
      <c r="D162" s="59" t="str">
        <f t="shared" si="11"/>
        <v/>
      </c>
      <c r="E162" s="68"/>
      <c r="F162" s="106" t="str">
        <f t="shared" si="12"/>
        <v/>
      </c>
      <c r="G162" s="101"/>
      <c r="H162" s="101"/>
      <c r="I162" s="101"/>
      <c r="J162" s="68"/>
      <c r="L162" t="str">
        <f t="shared" si="13"/>
        <v/>
      </c>
      <c r="M162" t="str">
        <f t="shared" si="14"/>
        <v/>
      </c>
    </row>
    <row r="163" spans="1:13">
      <c r="A163" s="60" t="str">
        <f>IF(E163="","",VLOOKUP('OPĆI DIO'!$C$3,'OPĆI DIO'!$L$6:$U$138,10,FALSE))</f>
        <v/>
      </c>
      <c r="B163" s="60" t="str">
        <f>IF(E163="","",VLOOKUP('OPĆI DIO'!$C$3,'OPĆI DIO'!$L$6:$U$138,9,FALSE))</f>
        <v/>
      </c>
      <c r="C163" s="103" t="str">
        <f t="shared" si="10"/>
        <v/>
      </c>
      <c r="D163" s="59" t="str">
        <f t="shared" si="11"/>
        <v/>
      </c>
      <c r="E163" s="68"/>
      <c r="F163" s="106" t="str">
        <f t="shared" si="12"/>
        <v/>
      </c>
      <c r="G163" s="101"/>
      <c r="H163" s="101"/>
      <c r="I163" s="101"/>
      <c r="J163" s="68"/>
      <c r="L163" t="str">
        <f t="shared" si="13"/>
        <v/>
      </c>
      <c r="M163" t="str">
        <f t="shared" si="14"/>
        <v/>
      </c>
    </row>
    <row r="164" spans="1:13">
      <c r="A164" s="60" t="str">
        <f>IF(E164="","",VLOOKUP('OPĆI DIO'!$C$3,'OPĆI DIO'!$L$6:$U$138,10,FALSE))</f>
        <v/>
      </c>
      <c r="B164" s="60" t="str">
        <f>IF(E164="","",VLOOKUP('OPĆI DIO'!$C$3,'OPĆI DIO'!$L$6:$U$138,9,FALSE))</f>
        <v/>
      </c>
      <c r="C164" s="103" t="str">
        <f t="shared" si="10"/>
        <v/>
      </c>
      <c r="D164" s="59" t="str">
        <f t="shared" si="11"/>
        <v/>
      </c>
      <c r="E164" s="68"/>
      <c r="F164" s="106" t="str">
        <f t="shared" si="12"/>
        <v/>
      </c>
      <c r="G164" s="101"/>
      <c r="H164" s="101"/>
      <c r="I164" s="101"/>
      <c r="J164" s="68"/>
      <c r="L164" t="str">
        <f t="shared" si="13"/>
        <v/>
      </c>
      <c r="M164" t="str">
        <f t="shared" si="14"/>
        <v/>
      </c>
    </row>
    <row r="165" spans="1:13">
      <c r="A165" s="60" t="str">
        <f>IF(E165="","",VLOOKUP('OPĆI DIO'!$C$3,'OPĆI DIO'!$L$6:$U$138,10,FALSE))</f>
        <v/>
      </c>
      <c r="B165" s="60" t="str">
        <f>IF(E165="","",VLOOKUP('OPĆI DIO'!$C$3,'OPĆI DIO'!$L$6:$U$138,9,FALSE))</f>
        <v/>
      </c>
      <c r="C165" s="103" t="str">
        <f t="shared" si="10"/>
        <v/>
      </c>
      <c r="D165" s="59" t="str">
        <f t="shared" si="11"/>
        <v/>
      </c>
      <c r="E165" s="68"/>
      <c r="F165" s="106" t="str">
        <f t="shared" si="12"/>
        <v/>
      </c>
      <c r="G165" s="101"/>
      <c r="H165" s="101"/>
      <c r="I165" s="101"/>
      <c r="J165" s="68"/>
      <c r="L165" t="str">
        <f t="shared" si="13"/>
        <v/>
      </c>
      <c r="M165" t="str">
        <f t="shared" si="14"/>
        <v/>
      </c>
    </row>
    <row r="166" spans="1:13">
      <c r="A166" s="60" t="str">
        <f>IF(E166="","",VLOOKUP('OPĆI DIO'!$C$3,'OPĆI DIO'!$L$6:$U$138,10,FALSE))</f>
        <v/>
      </c>
      <c r="B166" s="60" t="str">
        <f>IF(E166="","",VLOOKUP('OPĆI DIO'!$C$3,'OPĆI DIO'!$L$6:$U$138,9,FALSE))</f>
        <v/>
      </c>
      <c r="C166" s="103" t="str">
        <f t="shared" si="10"/>
        <v/>
      </c>
      <c r="D166" s="59" t="str">
        <f t="shared" si="11"/>
        <v/>
      </c>
      <c r="E166" s="68"/>
      <c r="F166" s="106" t="str">
        <f t="shared" si="12"/>
        <v/>
      </c>
      <c r="G166" s="101"/>
      <c r="H166" s="101"/>
      <c r="I166" s="101"/>
      <c r="J166" s="68"/>
      <c r="L166" t="str">
        <f t="shared" si="13"/>
        <v/>
      </c>
      <c r="M166" t="str">
        <f t="shared" si="14"/>
        <v/>
      </c>
    </row>
    <row r="167" spans="1:13">
      <c r="A167" s="60" t="str">
        <f>IF(E167="","",VLOOKUP('OPĆI DIO'!$C$3,'OPĆI DIO'!$L$6:$U$138,10,FALSE))</f>
        <v/>
      </c>
      <c r="B167" s="60" t="str">
        <f>IF(E167="","",VLOOKUP('OPĆI DIO'!$C$3,'OPĆI DIO'!$L$6:$U$138,9,FALSE))</f>
        <v/>
      </c>
      <c r="C167" s="103" t="str">
        <f t="shared" si="10"/>
        <v/>
      </c>
      <c r="D167" s="59" t="str">
        <f t="shared" si="11"/>
        <v/>
      </c>
      <c r="E167" s="68"/>
      <c r="F167" s="106" t="str">
        <f t="shared" si="12"/>
        <v/>
      </c>
      <c r="G167" s="101"/>
      <c r="H167" s="101"/>
      <c r="I167" s="101"/>
      <c r="J167" s="68"/>
      <c r="L167" t="str">
        <f t="shared" si="13"/>
        <v/>
      </c>
      <c r="M167" t="str">
        <f t="shared" si="14"/>
        <v/>
      </c>
    </row>
    <row r="168" spans="1:13">
      <c r="A168" s="60" t="str">
        <f>IF(E168="","",VLOOKUP('OPĆI DIO'!$C$3,'OPĆI DIO'!$L$6:$U$138,10,FALSE))</f>
        <v/>
      </c>
      <c r="B168" s="60" t="str">
        <f>IF(E168="","",VLOOKUP('OPĆI DIO'!$C$3,'OPĆI DIO'!$L$6:$U$138,9,FALSE))</f>
        <v/>
      </c>
      <c r="C168" s="103" t="str">
        <f t="shared" si="10"/>
        <v/>
      </c>
      <c r="D168" s="59" t="str">
        <f t="shared" si="11"/>
        <v/>
      </c>
      <c r="E168" s="68"/>
      <c r="F168" s="106" t="str">
        <f t="shared" si="12"/>
        <v/>
      </c>
      <c r="G168" s="101"/>
      <c r="H168" s="101"/>
      <c r="I168" s="101"/>
      <c r="J168" s="68"/>
      <c r="L168" t="str">
        <f t="shared" si="13"/>
        <v/>
      </c>
      <c r="M168" t="str">
        <f t="shared" si="14"/>
        <v/>
      </c>
    </row>
    <row r="169" spans="1:13">
      <c r="A169" s="60" t="str">
        <f>IF(E169="","",VLOOKUP('OPĆI DIO'!$C$3,'OPĆI DIO'!$L$6:$U$138,10,FALSE))</f>
        <v/>
      </c>
      <c r="B169" s="60" t="str">
        <f>IF(E169="","",VLOOKUP('OPĆI DIO'!$C$3,'OPĆI DIO'!$L$6:$U$138,9,FALSE))</f>
        <v/>
      </c>
      <c r="C169" s="103" t="str">
        <f t="shared" si="10"/>
        <v/>
      </c>
      <c r="D169" s="59" t="str">
        <f t="shared" si="11"/>
        <v/>
      </c>
      <c r="E169" s="68"/>
      <c r="F169" s="106" t="str">
        <f t="shared" si="12"/>
        <v/>
      </c>
      <c r="G169" s="101"/>
      <c r="H169" s="101"/>
      <c r="I169" s="101"/>
      <c r="J169" s="68"/>
      <c r="L169" t="str">
        <f t="shared" si="13"/>
        <v/>
      </c>
      <c r="M169" t="str">
        <f t="shared" si="14"/>
        <v/>
      </c>
    </row>
    <row r="170" spans="1:13">
      <c r="A170" s="60" t="str">
        <f>IF(E170="","",VLOOKUP('OPĆI DIO'!$C$3,'OPĆI DIO'!$L$6:$U$138,10,FALSE))</f>
        <v/>
      </c>
      <c r="B170" s="60" t="str">
        <f>IF(E170="","",VLOOKUP('OPĆI DIO'!$C$3,'OPĆI DIO'!$L$6:$U$138,9,FALSE))</f>
        <v/>
      </c>
      <c r="C170" s="103" t="str">
        <f t="shared" si="10"/>
        <v/>
      </c>
      <c r="D170" s="59" t="str">
        <f t="shared" si="11"/>
        <v/>
      </c>
      <c r="E170" s="68"/>
      <c r="F170" s="106" t="str">
        <f t="shared" si="12"/>
        <v/>
      </c>
      <c r="G170" s="101"/>
      <c r="H170" s="101"/>
      <c r="I170" s="101"/>
      <c r="J170" s="68"/>
      <c r="L170" t="str">
        <f t="shared" si="13"/>
        <v/>
      </c>
      <c r="M170" t="str">
        <f t="shared" si="14"/>
        <v/>
      </c>
    </row>
    <row r="171" spans="1:13">
      <c r="A171" s="60" t="str">
        <f>IF(E171="","",VLOOKUP('OPĆI DIO'!$C$3,'OPĆI DIO'!$L$6:$U$138,10,FALSE))</f>
        <v/>
      </c>
      <c r="B171" s="60" t="str">
        <f>IF(E171="","",VLOOKUP('OPĆI DIO'!$C$3,'OPĆI DIO'!$L$6:$U$138,9,FALSE))</f>
        <v/>
      </c>
      <c r="C171" s="103" t="str">
        <f t="shared" si="10"/>
        <v/>
      </c>
      <c r="D171" s="59" t="str">
        <f t="shared" si="11"/>
        <v/>
      </c>
      <c r="E171" s="68"/>
      <c r="F171" s="106" t="str">
        <f t="shared" si="12"/>
        <v/>
      </c>
      <c r="G171" s="101"/>
      <c r="H171" s="101"/>
      <c r="I171" s="101"/>
      <c r="J171" s="68"/>
      <c r="L171" t="str">
        <f t="shared" si="13"/>
        <v/>
      </c>
      <c r="M171" t="str">
        <f t="shared" si="14"/>
        <v/>
      </c>
    </row>
    <row r="172" spans="1:13">
      <c r="A172" s="60" t="str">
        <f>IF(E172="","",VLOOKUP('OPĆI DIO'!$C$3,'OPĆI DIO'!$L$6:$U$138,10,FALSE))</f>
        <v/>
      </c>
      <c r="B172" s="60" t="str">
        <f>IF(E172="","",VLOOKUP('OPĆI DIO'!$C$3,'OPĆI DIO'!$L$6:$U$138,9,FALSE))</f>
        <v/>
      </c>
      <c r="C172" s="103" t="str">
        <f t="shared" si="10"/>
        <v/>
      </c>
      <c r="D172" s="59" t="str">
        <f t="shared" si="11"/>
        <v/>
      </c>
      <c r="E172" s="68"/>
      <c r="F172" s="106" t="str">
        <f t="shared" si="12"/>
        <v/>
      </c>
      <c r="G172" s="101"/>
      <c r="H172" s="101"/>
      <c r="I172" s="101"/>
      <c r="J172" s="68"/>
      <c r="L172" t="str">
        <f t="shared" si="13"/>
        <v/>
      </c>
      <c r="M172" t="str">
        <f t="shared" si="14"/>
        <v/>
      </c>
    </row>
    <row r="173" spans="1:13">
      <c r="A173" s="60" t="str">
        <f>IF(E173="","",VLOOKUP('OPĆI DIO'!$C$3,'OPĆI DIO'!$L$6:$U$138,10,FALSE))</f>
        <v/>
      </c>
      <c r="B173" s="60" t="str">
        <f>IF(E173="","",VLOOKUP('OPĆI DIO'!$C$3,'OPĆI DIO'!$L$6:$U$138,9,FALSE))</f>
        <v/>
      </c>
      <c r="C173" s="103" t="str">
        <f t="shared" si="10"/>
        <v/>
      </c>
      <c r="D173" s="59" t="str">
        <f t="shared" si="11"/>
        <v/>
      </c>
      <c r="E173" s="68"/>
      <c r="F173" s="106" t="str">
        <f t="shared" si="12"/>
        <v/>
      </c>
      <c r="G173" s="101"/>
      <c r="H173" s="101"/>
      <c r="I173" s="101"/>
      <c r="J173" s="68"/>
      <c r="L173" t="str">
        <f t="shared" si="13"/>
        <v/>
      </c>
      <c r="M173" t="str">
        <f t="shared" si="14"/>
        <v/>
      </c>
    </row>
    <row r="174" spans="1:13">
      <c r="A174" s="60" t="str">
        <f>IF(E174="","",VLOOKUP('OPĆI DIO'!$C$3,'OPĆI DIO'!$L$6:$U$138,10,FALSE))</f>
        <v/>
      </c>
      <c r="B174" s="60" t="str">
        <f>IF(E174="","",VLOOKUP('OPĆI DIO'!$C$3,'OPĆI DIO'!$L$6:$U$138,9,FALSE))</f>
        <v/>
      </c>
      <c r="C174" s="103" t="str">
        <f t="shared" si="10"/>
        <v/>
      </c>
      <c r="D174" s="59" t="str">
        <f t="shared" si="11"/>
        <v/>
      </c>
      <c r="E174" s="68"/>
      <c r="F174" s="106" t="str">
        <f t="shared" si="12"/>
        <v/>
      </c>
      <c r="G174" s="101"/>
      <c r="H174" s="101"/>
      <c r="I174" s="101"/>
      <c r="J174" s="68"/>
      <c r="L174" t="str">
        <f t="shared" si="13"/>
        <v/>
      </c>
      <c r="M174" t="str">
        <f t="shared" si="14"/>
        <v/>
      </c>
    </row>
    <row r="175" spans="1:13">
      <c r="A175" s="60" t="str">
        <f>IF(E175="","",VLOOKUP('OPĆI DIO'!$C$3,'OPĆI DIO'!$L$6:$U$138,10,FALSE))</f>
        <v/>
      </c>
      <c r="B175" s="60" t="str">
        <f>IF(E175="","",VLOOKUP('OPĆI DIO'!$C$3,'OPĆI DIO'!$L$6:$U$138,9,FALSE))</f>
        <v/>
      </c>
      <c r="C175" s="103" t="str">
        <f t="shared" si="10"/>
        <v/>
      </c>
      <c r="D175" s="59" t="str">
        <f t="shared" si="11"/>
        <v/>
      </c>
      <c r="E175" s="68"/>
      <c r="F175" s="106" t="str">
        <f t="shared" si="12"/>
        <v/>
      </c>
      <c r="G175" s="101"/>
      <c r="H175" s="101"/>
      <c r="I175" s="101"/>
      <c r="J175" s="68"/>
      <c r="L175" t="str">
        <f t="shared" si="13"/>
        <v/>
      </c>
      <c r="M175" t="str">
        <f t="shared" si="14"/>
        <v/>
      </c>
    </row>
    <row r="176" spans="1:13">
      <c r="A176" s="60" t="str">
        <f>IF(E176="","",VLOOKUP('OPĆI DIO'!$C$3,'OPĆI DIO'!$L$6:$U$138,10,FALSE))</f>
        <v/>
      </c>
      <c r="B176" s="60" t="str">
        <f>IF(E176="","",VLOOKUP('OPĆI DIO'!$C$3,'OPĆI DIO'!$L$6:$U$138,9,FALSE))</f>
        <v/>
      </c>
      <c r="C176" s="103" t="str">
        <f t="shared" si="10"/>
        <v/>
      </c>
      <c r="D176" s="59" t="str">
        <f t="shared" si="11"/>
        <v/>
      </c>
      <c r="E176" s="68"/>
      <c r="F176" s="106" t="str">
        <f t="shared" si="12"/>
        <v/>
      </c>
      <c r="G176" s="101"/>
      <c r="H176" s="101"/>
      <c r="I176" s="101"/>
      <c r="J176" s="68"/>
      <c r="L176" t="str">
        <f t="shared" si="13"/>
        <v/>
      </c>
      <c r="M176" t="str">
        <f t="shared" si="14"/>
        <v/>
      </c>
    </row>
    <row r="177" spans="1:13">
      <c r="A177" s="60" t="str">
        <f>IF(E177="","",VLOOKUP('OPĆI DIO'!$C$3,'OPĆI DIO'!$L$6:$U$138,10,FALSE))</f>
        <v/>
      </c>
      <c r="B177" s="60" t="str">
        <f>IF(E177="","",VLOOKUP('OPĆI DIO'!$C$3,'OPĆI DIO'!$L$6:$U$138,9,FALSE))</f>
        <v/>
      </c>
      <c r="C177" s="103" t="str">
        <f t="shared" si="10"/>
        <v/>
      </c>
      <c r="D177" s="59" t="str">
        <f t="shared" si="11"/>
        <v/>
      </c>
      <c r="E177" s="68"/>
      <c r="F177" s="106" t="str">
        <f t="shared" si="12"/>
        <v/>
      </c>
      <c r="G177" s="101"/>
      <c r="H177" s="101"/>
      <c r="I177" s="101"/>
      <c r="J177" s="68"/>
      <c r="L177" t="str">
        <f t="shared" si="13"/>
        <v/>
      </c>
      <c r="M177" t="str">
        <f t="shared" si="14"/>
        <v/>
      </c>
    </row>
    <row r="178" spans="1:13">
      <c r="A178" s="60" t="str">
        <f>IF(E178="","",VLOOKUP('OPĆI DIO'!$C$3,'OPĆI DIO'!$L$6:$U$138,10,FALSE))</f>
        <v/>
      </c>
      <c r="B178" s="60" t="str">
        <f>IF(E178="","",VLOOKUP('OPĆI DIO'!$C$3,'OPĆI DIO'!$L$6:$U$138,9,FALSE))</f>
        <v/>
      </c>
      <c r="C178" s="103" t="str">
        <f t="shared" si="10"/>
        <v/>
      </c>
      <c r="D178" s="59" t="str">
        <f t="shared" si="11"/>
        <v/>
      </c>
      <c r="E178" s="68"/>
      <c r="F178" s="106" t="str">
        <f t="shared" si="12"/>
        <v/>
      </c>
      <c r="G178" s="101"/>
      <c r="H178" s="101"/>
      <c r="I178" s="101"/>
      <c r="J178" s="68"/>
      <c r="L178" t="str">
        <f t="shared" si="13"/>
        <v/>
      </c>
      <c r="M178" t="str">
        <f t="shared" si="14"/>
        <v/>
      </c>
    </row>
    <row r="179" spans="1:13">
      <c r="A179" s="60" t="str">
        <f>IF(E179="","",VLOOKUP('OPĆI DIO'!$C$3,'OPĆI DIO'!$L$6:$U$138,10,FALSE))</f>
        <v/>
      </c>
      <c r="B179" s="60" t="str">
        <f>IF(E179="","",VLOOKUP('OPĆI DIO'!$C$3,'OPĆI DIO'!$L$6:$U$138,9,FALSE))</f>
        <v/>
      </c>
      <c r="C179" s="103" t="str">
        <f t="shared" si="10"/>
        <v/>
      </c>
      <c r="D179" s="59" t="str">
        <f t="shared" si="11"/>
        <v/>
      </c>
      <c r="E179" s="68"/>
      <c r="F179" s="106" t="str">
        <f t="shared" si="12"/>
        <v/>
      </c>
      <c r="G179" s="101"/>
      <c r="H179" s="101"/>
      <c r="I179" s="101"/>
      <c r="J179" s="68"/>
      <c r="L179" t="str">
        <f t="shared" si="13"/>
        <v/>
      </c>
      <c r="M179" t="str">
        <f t="shared" si="14"/>
        <v/>
      </c>
    </row>
    <row r="180" spans="1:13">
      <c r="A180" s="60" t="str">
        <f>IF(E180="","",VLOOKUP('OPĆI DIO'!$C$3,'OPĆI DIO'!$L$6:$U$138,10,FALSE))</f>
        <v/>
      </c>
      <c r="B180" s="60" t="str">
        <f>IF(E180="","",VLOOKUP('OPĆI DIO'!$C$3,'OPĆI DIO'!$L$6:$U$138,9,FALSE))</f>
        <v/>
      </c>
      <c r="C180" s="103" t="str">
        <f t="shared" si="10"/>
        <v/>
      </c>
      <c r="D180" s="59" t="str">
        <f t="shared" si="11"/>
        <v/>
      </c>
      <c r="E180" s="68"/>
      <c r="F180" s="106" t="str">
        <f t="shared" si="12"/>
        <v/>
      </c>
      <c r="G180" s="101"/>
      <c r="H180" s="101"/>
      <c r="I180" s="101"/>
      <c r="J180" s="68"/>
      <c r="L180" t="str">
        <f t="shared" si="13"/>
        <v/>
      </c>
      <c r="M180" t="str">
        <f t="shared" si="14"/>
        <v/>
      </c>
    </row>
    <row r="181" spans="1:13">
      <c r="A181" s="60" t="str">
        <f>IF(E181="","",VLOOKUP('OPĆI DIO'!$C$3,'OPĆI DIO'!$L$6:$U$138,10,FALSE))</f>
        <v/>
      </c>
      <c r="B181" s="60" t="str">
        <f>IF(E181="","",VLOOKUP('OPĆI DIO'!$C$3,'OPĆI DIO'!$L$6:$U$138,9,FALSE))</f>
        <v/>
      </c>
      <c r="C181" s="103" t="str">
        <f t="shared" si="10"/>
        <v/>
      </c>
      <c r="D181" s="59" t="str">
        <f t="shared" si="11"/>
        <v/>
      </c>
      <c r="E181" s="68"/>
      <c r="F181" s="106" t="str">
        <f t="shared" si="12"/>
        <v/>
      </c>
      <c r="G181" s="101"/>
      <c r="H181" s="101"/>
      <c r="I181" s="101"/>
      <c r="J181" s="68"/>
      <c r="L181" t="str">
        <f t="shared" si="13"/>
        <v/>
      </c>
      <c r="M181" t="str">
        <f t="shared" si="14"/>
        <v/>
      </c>
    </row>
    <row r="182" spans="1:13">
      <c r="A182" s="60" t="str">
        <f>IF(E182="","",VLOOKUP('OPĆI DIO'!$C$3,'OPĆI DIO'!$L$6:$U$138,10,FALSE))</f>
        <v/>
      </c>
      <c r="B182" s="60" t="str">
        <f>IF(E182="","",VLOOKUP('OPĆI DIO'!$C$3,'OPĆI DIO'!$L$6:$U$138,9,FALSE))</f>
        <v/>
      </c>
      <c r="C182" s="103" t="str">
        <f t="shared" si="10"/>
        <v/>
      </c>
      <c r="D182" s="59" t="str">
        <f t="shared" si="11"/>
        <v/>
      </c>
      <c r="E182" s="68"/>
      <c r="F182" s="106" t="str">
        <f t="shared" si="12"/>
        <v/>
      </c>
      <c r="G182" s="101"/>
      <c r="H182" s="101"/>
      <c r="I182" s="101"/>
      <c r="J182" s="68"/>
      <c r="L182" t="str">
        <f t="shared" si="13"/>
        <v/>
      </c>
      <c r="M182" t="str">
        <f t="shared" si="14"/>
        <v/>
      </c>
    </row>
    <row r="183" spans="1:13">
      <c r="A183" s="60" t="str">
        <f>IF(E183="","",VLOOKUP('OPĆI DIO'!$C$3,'OPĆI DIO'!$L$6:$U$138,10,FALSE))</f>
        <v/>
      </c>
      <c r="B183" s="60" t="str">
        <f>IF(E183="","",VLOOKUP('OPĆI DIO'!$C$3,'OPĆI DIO'!$L$6:$U$138,9,FALSE))</f>
        <v/>
      </c>
      <c r="C183" s="103" t="str">
        <f t="shared" si="10"/>
        <v/>
      </c>
      <c r="D183" s="59" t="str">
        <f t="shared" si="11"/>
        <v/>
      </c>
      <c r="E183" s="68"/>
      <c r="F183" s="106" t="str">
        <f t="shared" si="12"/>
        <v/>
      </c>
      <c r="G183" s="101"/>
      <c r="H183" s="101"/>
      <c r="I183" s="101"/>
      <c r="J183" s="68"/>
      <c r="L183" t="str">
        <f t="shared" si="13"/>
        <v/>
      </c>
      <c r="M183" t="str">
        <f t="shared" si="14"/>
        <v/>
      </c>
    </row>
    <row r="184" spans="1:13">
      <c r="A184" s="60" t="str">
        <f>IF(E184="","",VLOOKUP('OPĆI DIO'!$C$3,'OPĆI DIO'!$L$6:$U$138,10,FALSE))</f>
        <v/>
      </c>
      <c r="B184" s="60" t="str">
        <f>IF(E184="","",VLOOKUP('OPĆI DIO'!$C$3,'OPĆI DIO'!$L$6:$U$138,9,FALSE))</f>
        <v/>
      </c>
      <c r="C184" s="103" t="str">
        <f t="shared" si="10"/>
        <v/>
      </c>
      <c r="D184" s="59" t="str">
        <f t="shared" si="11"/>
        <v/>
      </c>
      <c r="E184" s="68"/>
      <c r="F184" s="106" t="str">
        <f t="shared" si="12"/>
        <v/>
      </c>
      <c r="G184" s="101"/>
      <c r="H184" s="101"/>
      <c r="I184" s="101"/>
      <c r="J184" s="68"/>
      <c r="L184" t="str">
        <f t="shared" si="13"/>
        <v/>
      </c>
      <c r="M184" t="str">
        <f t="shared" si="14"/>
        <v/>
      </c>
    </row>
    <row r="185" spans="1:13">
      <c r="A185" s="60" t="str">
        <f>IF(E185="","",VLOOKUP('OPĆI DIO'!$C$3,'OPĆI DIO'!$L$6:$U$138,10,FALSE))</f>
        <v/>
      </c>
      <c r="B185" s="60" t="str">
        <f>IF(E185="","",VLOOKUP('OPĆI DIO'!$C$3,'OPĆI DIO'!$L$6:$U$138,9,FALSE))</f>
        <v/>
      </c>
      <c r="C185" s="103" t="str">
        <f t="shared" si="10"/>
        <v/>
      </c>
      <c r="D185" s="59" t="str">
        <f t="shared" si="11"/>
        <v/>
      </c>
      <c r="E185" s="68"/>
      <c r="F185" s="106" t="str">
        <f t="shared" si="12"/>
        <v/>
      </c>
      <c r="G185" s="101"/>
      <c r="H185" s="101"/>
      <c r="I185" s="101"/>
      <c r="J185" s="68"/>
      <c r="L185" t="str">
        <f t="shared" si="13"/>
        <v/>
      </c>
      <c r="M185" t="str">
        <f t="shared" si="14"/>
        <v/>
      </c>
    </row>
    <row r="186" spans="1:13">
      <c r="A186" s="60" t="str">
        <f>IF(E186="","",VLOOKUP('OPĆI DIO'!$C$3,'OPĆI DIO'!$L$6:$U$138,10,FALSE))</f>
        <v/>
      </c>
      <c r="B186" s="60" t="str">
        <f>IF(E186="","",VLOOKUP('OPĆI DIO'!$C$3,'OPĆI DIO'!$L$6:$U$138,9,FALSE))</f>
        <v/>
      </c>
      <c r="C186" s="103" t="str">
        <f t="shared" si="10"/>
        <v/>
      </c>
      <c r="D186" s="59" t="str">
        <f t="shared" si="11"/>
        <v/>
      </c>
      <c r="E186" s="68"/>
      <c r="F186" s="106" t="str">
        <f t="shared" si="12"/>
        <v/>
      </c>
      <c r="G186" s="101"/>
      <c r="H186" s="101"/>
      <c r="I186" s="101"/>
      <c r="J186" s="68"/>
      <c r="L186" t="str">
        <f t="shared" si="13"/>
        <v/>
      </c>
      <c r="M186" t="str">
        <f t="shared" si="14"/>
        <v/>
      </c>
    </row>
    <row r="187" spans="1:13">
      <c r="A187" s="60" t="str">
        <f>IF(E187="","",VLOOKUP('OPĆI DIO'!$C$3,'OPĆI DIO'!$L$6:$U$138,10,FALSE))</f>
        <v/>
      </c>
      <c r="B187" s="60" t="str">
        <f>IF(E187="","",VLOOKUP('OPĆI DIO'!$C$3,'OPĆI DIO'!$L$6:$U$138,9,FALSE))</f>
        <v/>
      </c>
      <c r="C187" s="103" t="str">
        <f t="shared" si="10"/>
        <v/>
      </c>
      <c r="D187" s="59" t="str">
        <f t="shared" si="11"/>
        <v/>
      </c>
      <c r="E187" s="68"/>
      <c r="F187" s="106" t="str">
        <f t="shared" si="12"/>
        <v/>
      </c>
      <c r="G187" s="101"/>
      <c r="H187" s="101"/>
      <c r="I187" s="101"/>
      <c r="J187" s="68"/>
      <c r="L187" t="str">
        <f t="shared" si="13"/>
        <v/>
      </c>
      <c r="M187" t="str">
        <f t="shared" si="14"/>
        <v/>
      </c>
    </row>
    <row r="188" spans="1:13">
      <c r="A188" s="60" t="str">
        <f>IF(E188="","",VLOOKUP('OPĆI DIO'!$C$3,'OPĆI DIO'!$L$6:$U$138,10,FALSE))</f>
        <v/>
      </c>
      <c r="B188" s="60" t="str">
        <f>IF(E188="","",VLOOKUP('OPĆI DIO'!$C$3,'OPĆI DIO'!$L$6:$U$138,9,FALSE))</f>
        <v/>
      </c>
      <c r="C188" s="103" t="str">
        <f t="shared" si="10"/>
        <v/>
      </c>
      <c r="D188" s="59" t="str">
        <f t="shared" si="11"/>
        <v/>
      </c>
      <c r="E188" s="68"/>
      <c r="F188" s="106" t="str">
        <f t="shared" si="12"/>
        <v/>
      </c>
      <c r="G188" s="101"/>
      <c r="H188" s="101"/>
      <c r="I188" s="101"/>
      <c r="J188" s="68"/>
      <c r="L188" t="str">
        <f t="shared" si="13"/>
        <v/>
      </c>
      <c r="M188" t="str">
        <f t="shared" si="14"/>
        <v/>
      </c>
    </row>
    <row r="189" spans="1:13">
      <c r="A189" s="60" t="str">
        <f>IF(E189="","",VLOOKUP('OPĆI DIO'!$C$3,'OPĆI DIO'!$L$6:$U$138,10,FALSE))</f>
        <v/>
      </c>
      <c r="B189" s="60" t="str">
        <f>IF(E189="","",VLOOKUP('OPĆI DIO'!$C$3,'OPĆI DIO'!$L$6:$U$138,9,FALSE))</f>
        <v/>
      </c>
      <c r="C189" s="103" t="str">
        <f t="shared" si="10"/>
        <v/>
      </c>
      <c r="D189" s="59" t="str">
        <f t="shared" si="11"/>
        <v/>
      </c>
      <c r="E189" s="68"/>
      <c r="F189" s="106" t="str">
        <f t="shared" si="12"/>
        <v/>
      </c>
      <c r="G189" s="101"/>
      <c r="H189" s="101"/>
      <c r="I189" s="101"/>
      <c r="J189" s="68"/>
      <c r="L189" t="str">
        <f t="shared" si="13"/>
        <v/>
      </c>
      <c r="M189" t="str">
        <f t="shared" si="14"/>
        <v/>
      </c>
    </row>
    <row r="190" spans="1:13">
      <c r="A190" s="60" t="str">
        <f>IF(E190="","",VLOOKUP('OPĆI DIO'!$C$3,'OPĆI DIO'!$L$6:$U$138,10,FALSE))</f>
        <v/>
      </c>
      <c r="B190" s="60" t="str">
        <f>IF(E190="","",VLOOKUP('OPĆI DIO'!$C$3,'OPĆI DIO'!$L$6:$U$138,9,FALSE))</f>
        <v/>
      </c>
      <c r="C190" s="103" t="str">
        <f t="shared" si="10"/>
        <v/>
      </c>
      <c r="D190" s="59" t="str">
        <f t="shared" si="11"/>
        <v/>
      </c>
      <c r="E190" s="68"/>
      <c r="F190" s="106" t="str">
        <f t="shared" si="12"/>
        <v/>
      </c>
      <c r="G190" s="101"/>
      <c r="H190" s="101"/>
      <c r="I190" s="101"/>
      <c r="J190" s="68"/>
      <c r="L190" t="str">
        <f t="shared" si="13"/>
        <v/>
      </c>
      <c r="M190" t="str">
        <f t="shared" si="14"/>
        <v/>
      </c>
    </row>
    <row r="191" spans="1:13">
      <c r="A191" s="60" t="str">
        <f>IF(E191="","",VLOOKUP('OPĆI DIO'!$C$3,'OPĆI DIO'!$L$6:$U$138,10,FALSE))</f>
        <v/>
      </c>
      <c r="B191" s="60" t="str">
        <f>IF(E191="","",VLOOKUP('OPĆI DIO'!$C$3,'OPĆI DIO'!$L$6:$U$138,9,FALSE))</f>
        <v/>
      </c>
      <c r="C191" s="103" t="str">
        <f t="shared" si="10"/>
        <v/>
      </c>
      <c r="D191" s="59" t="str">
        <f t="shared" si="11"/>
        <v/>
      </c>
      <c r="E191" s="68"/>
      <c r="F191" s="106" t="str">
        <f t="shared" si="12"/>
        <v/>
      </c>
      <c r="G191" s="101"/>
      <c r="H191" s="101"/>
      <c r="I191" s="101"/>
      <c r="J191" s="68"/>
      <c r="L191" t="str">
        <f t="shared" si="13"/>
        <v/>
      </c>
      <c r="M191" t="str">
        <f t="shared" si="14"/>
        <v/>
      </c>
    </row>
    <row r="192" spans="1:13">
      <c r="A192" s="60" t="str">
        <f>IF(E192="","",VLOOKUP('OPĆI DIO'!$C$3,'OPĆI DIO'!$L$6:$U$138,10,FALSE))</f>
        <v/>
      </c>
      <c r="B192" s="60" t="str">
        <f>IF(E192="","",VLOOKUP('OPĆI DIO'!$C$3,'OPĆI DIO'!$L$6:$U$138,9,FALSE))</f>
        <v/>
      </c>
      <c r="C192" s="103" t="str">
        <f t="shared" si="10"/>
        <v/>
      </c>
      <c r="D192" s="59" t="str">
        <f t="shared" si="11"/>
        <v/>
      </c>
      <c r="E192" s="68"/>
      <c r="F192" s="106" t="str">
        <f t="shared" si="12"/>
        <v/>
      </c>
      <c r="G192" s="101"/>
      <c r="H192" s="101"/>
      <c r="I192" s="101"/>
      <c r="J192" s="68"/>
      <c r="L192" t="str">
        <f t="shared" si="13"/>
        <v/>
      </c>
      <c r="M192" t="str">
        <f t="shared" si="14"/>
        <v/>
      </c>
    </row>
    <row r="193" spans="1:13">
      <c r="A193" s="60" t="str">
        <f>IF(E193="","",VLOOKUP('OPĆI DIO'!$C$3,'OPĆI DIO'!$L$6:$U$138,10,FALSE))</f>
        <v/>
      </c>
      <c r="B193" s="60" t="str">
        <f>IF(E193="","",VLOOKUP('OPĆI DIO'!$C$3,'OPĆI DIO'!$L$6:$U$138,9,FALSE))</f>
        <v/>
      </c>
      <c r="C193" s="103" t="str">
        <f t="shared" si="10"/>
        <v/>
      </c>
      <c r="D193" s="59" t="str">
        <f t="shared" si="11"/>
        <v/>
      </c>
      <c r="E193" s="68"/>
      <c r="F193" s="106" t="str">
        <f t="shared" si="12"/>
        <v/>
      </c>
      <c r="G193" s="101"/>
      <c r="H193" s="101"/>
      <c r="I193" s="101"/>
      <c r="J193" s="68"/>
      <c r="L193" t="str">
        <f t="shared" si="13"/>
        <v/>
      </c>
      <c r="M193" t="str">
        <f t="shared" si="14"/>
        <v/>
      </c>
    </row>
    <row r="194" spans="1:13">
      <c r="A194" s="60" t="str">
        <f>IF(E194="","",VLOOKUP('OPĆI DIO'!$C$3,'OPĆI DIO'!$L$6:$U$138,10,FALSE))</f>
        <v/>
      </c>
      <c r="B194" s="60" t="str">
        <f>IF(E194="","",VLOOKUP('OPĆI DIO'!$C$3,'OPĆI DIO'!$L$6:$U$138,9,FALSE))</f>
        <v/>
      </c>
      <c r="C194" s="103" t="str">
        <f t="shared" si="10"/>
        <v/>
      </c>
      <c r="D194" s="59" t="str">
        <f t="shared" si="11"/>
        <v/>
      </c>
      <c r="E194" s="68"/>
      <c r="F194" s="106" t="str">
        <f t="shared" si="12"/>
        <v/>
      </c>
      <c r="G194" s="101"/>
      <c r="H194" s="101"/>
      <c r="I194" s="101"/>
      <c r="J194" s="68"/>
      <c r="L194" t="str">
        <f t="shared" si="13"/>
        <v/>
      </c>
      <c r="M194" t="str">
        <f t="shared" si="14"/>
        <v/>
      </c>
    </row>
    <row r="195" spans="1:13">
      <c r="A195" s="60" t="str">
        <f>IF(E195="","",VLOOKUP('OPĆI DIO'!$C$3,'OPĆI DIO'!$L$6:$U$138,10,FALSE))</f>
        <v/>
      </c>
      <c r="B195" s="60" t="str">
        <f>IF(E195="","",VLOOKUP('OPĆI DIO'!$C$3,'OPĆI DIO'!$L$6:$U$138,9,FALSE))</f>
        <v/>
      </c>
      <c r="C195" s="103" t="str">
        <f t="shared" ref="C195:C258" si="15">IFERROR(VLOOKUP(E195,$R$6:$U$113,3,FALSE),"")</f>
        <v/>
      </c>
      <c r="D195" s="59" t="str">
        <f t="shared" ref="D195:D258" si="16">IFERROR(VLOOKUP(E195,$R$6:$U$113,4,FALSE),"")</f>
        <v/>
      </c>
      <c r="E195" s="68"/>
      <c r="F195" s="106" t="str">
        <f t="shared" ref="F195:F258" si="17">IFERROR(VLOOKUP(E195,$R$6:$U$113,2,FALSE),"")</f>
        <v/>
      </c>
      <c r="G195" s="101"/>
      <c r="H195" s="101"/>
      <c r="I195" s="101"/>
      <c r="J195" s="68"/>
      <c r="L195" t="str">
        <f t="shared" si="13"/>
        <v/>
      </c>
      <c r="M195" t="str">
        <f t="shared" si="14"/>
        <v/>
      </c>
    </row>
    <row r="196" spans="1:13">
      <c r="A196" s="60" t="str">
        <f>IF(E196="","",VLOOKUP('OPĆI DIO'!$C$3,'OPĆI DIO'!$L$6:$U$138,10,FALSE))</f>
        <v/>
      </c>
      <c r="B196" s="60" t="str">
        <f>IF(E196="","",VLOOKUP('OPĆI DIO'!$C$3,'OPĆI DIO'!$L$6:$U$138,9,FALSE))</f>
        <v/>
      </c>
      <c r="C196" s="103" t="str">
        <f t="shared" si="15"/>
        <v/>
      </c>
      <c r="D196" s="59" t="str">
        <f t="shared" si="16"/>
        <v/>
      </c>
      <c r="E196" s="68"/>
      <c r="F196" s="106" t="str">
        <f t="shared" si="17"/>
        <v/>
      </c>
      <c r="G196" s="101"/>
      <c r="H196" s="101"/>
      <c r="I196" s="101"/>
      <c r="J196" s="68"/>
      <c r="L196" t="str">
        <f t="shared" ref="L196:L259" si="18">LEFT(E196,2)</f>
        <v/>
      </c>
      <c r="M196" t="str">
        <f t="shared" ref="M196:M259" si="19">LEFT(E196,3)</f>
        <v/>
      </c>
    </row>
    <row r="197" spans="1:13">
      <c r="A197" s="60" t="str">
        <f>IF(E197="","",VLOOKUP('OPĆI DIO'!$C$3,'OPĆI DIO'!$L$6:$U$138,10,FALSE))</f>
        <v/>
      </c>
      <c r="B197" s="60" t="str">
        <f>IF(E197="","",VLOOKUP('OPĆI DIO'!$C$3,'OPĆI DIO'!$L$6:$U$138,9,FALSE))</f>
        <v/>
      </c>
      <c r="C197" s="103" t="str">
        <f t="shared" si="15"/>
        <v/>
      </c>
      <c r="D197" s="59" t="str">
        <f t="shared" si="16"/>
        <v/>
      </c>
      <c r="E197" s="68"/>
      <c r="F197" s="106" t="str">
        <f t="shared" si="17"/>
        <v/>
      </c>
      <c r="G197" s="101"/>
      <c r="H197" s="101"/>
      <c r="I197" s="101"/>
      <c r="J197" s="68"/>
      <c r="L197" t="str">
        <f t="shared" si="18"/>
        <v/>
      </c>
      <c r="M197" t="str">
        <f t="shared" si="19"/>
        <v/>
      </c>
    </row>
    <row r="198" spans="1:13">
      <c r="A198" s="60" t="str">
        <f>IF(E198="","",VLOOKUP('OPĆI DIO'!$C$3,'OPĆI DIO'!$L$6:$U$138,10,FALSE))</f>
        <v/>
      </c>
      <c r="B198" s="60" t="str">
        <f>IF(E198="","",VLOOKUP('OPĆI DIO'!$C$3,'OPĆI DIO'!$L$6:$U$138,9,FALSE))</f>
        <v/>
      </c>
      <c r="C198" s="103" t="str">
        <f t="shared" si="15"/>
        <v/>
      </c>
      <c r="D198" s="59" t="str">
        <f t="shared" si="16"/>
        <v/>
      </c>
      <c r="E198" s="68"/>
      <c r="F198" s="106" t="str">
        <f t="shared" si="17"/>
        <v/>
      </c>
      <c r="G198" s="101"/>
      <c r="H198" s="101"/>
      <c r="I198" s="101"/>
      <c r="J198" s="68"/>
      <c r="L198" t="str">
        <f t="shared" si="18"/>
        <v/>
      </c>
      <c r="M198" t="str">
        <f t="shared" si="19"/>
        <v/>
      </c>
    </row>
    <row r="199" spans="1:13">
      <c r="A199" s="60" t="str">
        <f>IF(E199="","",VLOOKUP('OPĆI DIO'!$C$3,'OPĆI DIO'!$L$6:$U$138,10,FALSE))</f>
        <v/>
      </c>
      <c r="B199" s="60" t="str">
        <f>IF(E199="","",VLOOKUP('OPĆI DIO'!$C$3,'OPĆI DIO'!$L$6:$U$138,9,FALSE))</f>
        <v/>
      </c>
      <c r="C199" s="103" t="str">
        <f t="shared" si="15"/>
        <v/>
      </c>
      <c r="D199" s="59" t="str">
        <f t="shared" si="16"/>
        <v/>
      </c>
      <c r="E199" s="68"/>
      <c r="F199" s="106" t="str">
        <f t="shared" si="17"/>
        <v/>
      </c>
      <c r="G199" s="101"/>
      <c r="H199" s="101"/>
      <c r="I199" s="101"/>
      <c r="J199" s="68"/>
      <c r="L199" t="str">
        <f t="shared" si="18"/>
        <v/>
      </c>
      <c r="M199" t="str">
        <f t="shared" si="19"/>
        <v/>
      </c>
    </row>
    <row r="200" spans="1:13">
      <c r="A200" s="60" t="str">
        <f>IF(E200="","",VLOOKUP('OPĆI DIO'!$C$3,'OPĆI DIO'!$L$6:$U$138,10,FALSE))</f>
        <v/>
      </c>
      <c r="B200" s="60" t="str">
        <f>IF(E200="","",VLOOKUP('OPĆI DIO'!$C$3,'OPĆI DIO'!$L$6:$U$138,9,FALSE))</f>
        <v/>
      </c>
      <c r="C200" s="103" t="str">
        <f t="shared" si="15"/>
        <v/>
      </c>
      <c r="D200" s="59" t="str">
        <f t="shared" si="16"/>
        <v/>
      </c>
      <c r="E200" s="68"/>
      <c r="F200" s="106" t="str">
        <f t="shared" si="17"/>
        <v/>
      </c>
      <c r="G200" s="101"/>
      <c r="H200" s="101"/>
      <c r="I200" s="101"/>
      <c r="J200" s="68"/>
      <c r="L200" t="str">
        <f t="shared" si="18"/>
        <v/>
      </c>
      <c r="M200" t="str">
        <f t="shared" si="19"/>
        <v/>
      </c>
    </row>
    <row r="201" spans="1:13">
      <c r="A201" s="60" t="str">
        <f>IF(E201="","",VLOOKUP('OPĆI DIO'!$C$3,'OPĆI DIO'!$L$6:$U$138,10,FALSE))</f>
        <v/>
      </c>
      <c r="B201" s="60" t="str">
        <f>IF(E201="","",VLOOKUP('OPĆI DIO'!$C$3,'OPĆI DIO'!$L$6:$U$138,9,FALSE))</f>
        <v/>
      </c>
      <c r="C201" s="103" t="str">
        <f t="shared" si="15"/>
        <v/>
      </c>
      <c r="D201" s="59" t="str">
        <f t="shared" si="16"/>
        <v/>
      </c>
      <c r="E201" s="68"/>
      <c r="F201" s="106" t="str">
        <f t="shared" si="17"/>
        <v/>
      </c>
      <c r="G201" s="101"/>
      <c r="H201" s="101"/>
      <c r="I201" s="101"/>
      <c r="J201" s="68"/>
      <c r="L201" t="str">
        <f t="shared" si="18"/>
        <v/>
      </c>
      <c r="M201" t="str">
        <f t="shared" si="19"/>
        <v/>
      </c>
    </row>
    <row r="202" spans="1:13">
      <c r="A202" s="60" t="str">
        <f>IF(E202="","",VLOOKUP('OPĆI DIO'!$C$3,'OPĆI DIO'!$L$6:$U$138,10,FALSE))</f>
        <v/>
      </c>
      <c r="B202" s="60" t="str">
        <f>IF(E202="","",VLOOKUP('OPĆI DIO'!$C$3,'OPĆI DIO'!$L$6:$U$138,9,FALSE))</f>
        <v/>
      </c>
      <c r="C202" s="103" t="str">
        <f t="shared" si="15"/>
        <v/>
      </c>
      <c r="D202" s="59" t="str">
        <f t="shared" si="16"/>
        <v/>
      </c>
      <c r="E202" s="68"/>
      <c r="F202" s="106" t="str">
        <f t="shared" si="17"/>
        <v/>
      </c>
      <c r="G202" s="101"/>
      <c r="H202" s="101"/>
      <c r="I202" s="101"/>
      <c r="J202" s="68"/>
      <c r="L202" t="str">
        <f t="shared" si="18"/>
        <v/>
      </c>
      <c r="M202" t="str">
        <f t="shared" si="19"/>
        <v/>
      </c>
    </row>
    <row r="203" spans="1:13">
      <c r="A203" s="60" t="str">
        <f>IF(E203="","",VLOOKUP('OPĆI DIO'!$C$3,'OPĆI DIO'!$L$6:$U$138,10,FALSE))</f>
        <v/>
      </c>
      <c r="B203" s="60" t="str">
        <f>IF(E203="","",VLOOKUP('OPĆI DIO'!$C$3,'OPĆI DIO'!$L$6:$U$138,9,FALSE))</f>
        <v/>
      </c>
      <c r="C203" s="103" t="str">
        <f t="shared" si="15"/>
        <v/>
      </c>
      <c r="D203" s="59" t="str">
        <f t="shared" si="16"/>
        <v/>
      </c>
      <c r="E203" s="68"/>
      <c r="F203" s="106" t="str">
        <f t="shared" si="17"/>
        <v/>
      </c>
      <c r="G203" s="101"/>
      <c r="H203" s="101"/>
      <c r="I203" s="101"/>
      <c r="J203" s="68"/>
      <c r="L203" t="str">
        <f t="shared" si="18"/>
        <v/>
      </c>
      <c r="M203" t="str">
        <f t="shared" si="19"/>
        <v/>
      </c>
    </row>
    <row r="204" spans="1:13">
      <c r="A204" s="60" t="str">
        <f>IF(E204="","",VLOOKUP('OPĆI DIO'!$C$3,'OPĆI DIO'!$L$6:$U$138,10,FALSE))</f>
        <v/>
      </c>
      <c r="B204" s="60" t="str">
        <f>IF(E204="","",VLOOKUP('OPĆI DIO'!$C$3,'OPĆI DIO'!$L$6:$U$138,9,FALSE))</f>
        <v/>
      </c>
      <c r="C204" s="103" t="str">
        <f t="shared" si="15"/>
        <v/>
      </c>
      <c r="D204" s="59" t="str">
        <f t="shared" si="16"/>
        <v/>
      </c>
      <c r="E204" s="68"/>
      <c r="F204" s="106" t="str">
        <f t="shared" si="17"/>
        <v/>
      </c>
      <c r="G204" s="101"/>
      <c r="H204" s="101"/>
      <c r="I204" s="101"/>
      <c r="J204" s="68"/>
      <c r="L204" t="str">
        <f t="shared" si="18"/>
        <v/>
      </c>
      <c r="M204" t="str">
        <f t="shared" si="19"/>
        <v/>
      </c>
    </row>
    <row r="205" spans="1:13">
      <c r="A205" s="60" t="str">
        <f>IF(E205="","",VLOOKUP('OPĆI DIO'!$C$3,'OPĆI DIO'!$L$6:$U$138,10,FALSE))</f>
        <v/>
      </c>
      <c r="B205" s="60" t="str">
        <f>IF(E205="","",VLOOKUP('OPĆI DIO'!$C$3,'OPĆI DIO'!$L$6:$U$138,9,FALSE))</f>
        <v/>
      </c>
      <c r="C205" s="103" t="str">
        <f t="shared" si="15"/>
        <v/>
      </c>
      <c r="D205" s="59" t="str">
        <f t="shared" si="16"/>
        <v/>
      </c>
      <c r="E205" s="68"/>
      <c r="F205" s="106" t="str">
        <f t="shared" si="17"/>
        <v/>
      </c>
      <c r="G205" s="101"/>
      <c r="H205" s="101"/>
      <c r="I205" s="101"/>
      <c r="J205" s="68"/>
      <c r="L205" t="str">
        <f t="shared" si="18"/>
        <v/>
      </c>
      <c r="M205" t="str">
        <f t="shared" si="19"/>
        <v/>
      </c>
    </row>
    <row r="206" spans="1:13">
      <c r="A206" s="60" t="str">
        <f>IF(E206="","",VLOOKUP('OPĆI DIO'!$C$3,'OPĆI DIO'!$L$6:$U$138,10,FALSE))</f>
        <v/>
      </c>
      <c r="B206" s="60" t="str">
        <f>IF(E206="","",VLOOKUP('OPĆI DIO'!$C$3,'OPĆI DIO'!$L$6:$U$138,9,FALSE))</f>
        <v/>
      </c>
      <c r="C206" s="103" t="str">
        <f t="shared" si="15"/>
        <v/>
      </c>
      <c r="D206" s="59" t="str">
        <f t="shared" si="16"/>
        <v/>
      </c>
      <c r="E206" s="68"/>
      <c r="F206" s="106" t="str">
        <f t="shared" si="17"/>
        <v/>
      </c>
      <c r="G206" s="101"/>
      <c r="H206" s="101"/>
      <c r="I206" s="101"/>
      <c r="J206" s="68"/>
      <c r="L206" t="str">
        <f t="shared" si="18"/>
        <v/>
      </c>
      <c r="M206" t="str">
        <f t="shared" si="19"/>
        <v/>
      </c>
    </row>
    <row r="207" spans="1:13">
      <c r="A207" s="60" t="str">
        <f>IF(E207="","",VLOOKUP('OPĆI DIO'!$C$3,'OPĆI DIO'!$L$6:$U$138,10,FALSE))</f>
        <v/>
      </c>
      <c r="B207" s="60" t="str">
        <f>IF(E207="","",VLOOKUP('OPĆI DIO'!$C$3,'OPĆI DIO'!$L$6:$U$138,9,FALSE))</f>
        <v/>
      </c>
      <c r="C207" s="103" t="str">
        <f t="shared" si="15"/>
        <v/>
      </c>
      <c r="D207" s="59" t="str">
        <f t="shared" si="16"/>
        <v/>
      </c>
      <c r="E207" s="68"/>
      <c r="F207" s="106" t="str">
        <f t="shared" si="17"/>
        <v/>
      </c>
      <c r="G207" s="101"/>
      <c r="H207" s="101"/>
      <c r="I207" s="101"/>
      <c r="J207" s="68"/>
      <c r="L207" t="str">
        <f t="shared" si="18"/>
        <v/>
      </c>
      <c r="M207" t="str">
        <f t="shared" si="19"/>
        <v/>
      </c>
    </row>
    <row r="208" spans="1:13">
      <c r="A208" s="60" t="str">
        <f>IF(E208="","",VLOOKUP('OPĆI DIO'!$C$3,'OPĆI DIO'!$L$6:$U$138,10,FALSE))</f>
        <v/>
      </c>
      <c r="B208" s="60" t="str">
        <f>IF(E208="","",VLOOKUP('OPĆI DIO'!$C$3,'OPĆI DIO'!$L$6:$U$138,9,FALSE))</f>
        <v/>
      </c>
      <c r="C208" s="103" t="str">
        <f t="shared" si="15"/>
        <v/>
      </c>
      <c r="D208" s="59" t="str">
        <f t="shared" si="16"/>
        <v/>
      </c>
      <c r="E208" s="68"/>
      <c r="F208" s="106" t="str">
        <f t="shared" si="17"/>
        <v/>
      </c>
      <c r="G208" s="101"/>
      <c r="H208" s="101"/>
      <c r="I208" s="101"/>
      <c r="J208" s="68"/>
      <c r="L208" t="str">
        <f t="shared" si="18"/>
        <v/>
      </c>
      <c r="M208" t="str">
        <f t="shared" si="19"/>
        <v/>
      </c>
    </row>
    <row r="209" spans="1:13">
      <c r="A209" s="60" t="str">
        <f>IF(E209="","",VLOOKUP('OPĆI DIO'!$C$3,'OPĆI DIO'!$L$6:$U$138,10,FALSE))</f>
        <v/>
      </c>
      <c r="B209" s="60" t="str">
        <f>IF(E209="","",VLOOKUP('OPĆI DIO'!$C$3,'OPĆI DIO'!$L$6:$U$138,9,FALSE))</f>
        <v/>
      </c>
      <c r="C209" s="103" t="str">
        <f t="shared" si="15"/>
        <v/>
      </c>
      <c r="D209" s="59" t="str">
        <f t="shared" si="16"/>
        <v/>
      </c>
      <c r="E209" s="68"/>
      <c r="F209" s="106" t="str">
        <f t="shared" si="17"/>
        <v/>
      </c>
      <c r="G209" s="101"/>
      <c r="H209" s="101"/>
      <c r="I209" s="101"/>
      <c r="J209" s="68"/>
      <c r="L209" t="str">
        <f t="shared" si="18"/>
        <v/>
      </c>
      <c r="M209" t="str">
        <f t="shared" si="19"/>
        <v/>
      </c>
    </row>
    <row r="210" spans="1:13">
      <c r="A210" s="60" t="str">
        <f>IF(E210="","",VLOOKUP('OPĆI DIO'!$C$3,'OPĆI DIO'!$L$6:$U$138,10,FALSE))</f>
        <v/>
      </c>
      <c r="B210" s="60" t="str">
        <f>IF(E210="","",VLOOKUP('OPĆI DIO'!$C$3,'OPĆI DIO'!$L$6:$U$138,9,FALSE))</f>
        <v/>
      </c>
      <c r="C210" s="103" t="str">
        <f t="shared" si="15"/>
        <v/>
      </c>
      <c r="D210" s="59" t="str">
        <f t="shared" si="16"/>
        <v/>
      </c>
      <c r="E210" s="68"/>
      <c r="F210" s="106" t="str">
        <f t="shared" si="17"/>
        <v/>
      </c>
      <c r="G210" s="101"/>
      <c r="H210" s="101"/>
      <c r="I210" s="101"/>
      <c r="J210" s="68"/>
      <c r="L210" t="str">
        <f t="shared" si="18"/>
        <v/>
      </c>
      <c r="M210" t="str">
        <f t="shared" si="19"/>
        <v/>
      </c>
    </row>
    <row r="211" spans="1:13">
      <c r="A211" s="60" t="str">
        <f>IF(E211="","",VLOOKUP('OPĆI DIO'!$C$3,'OPĆI DIO'!$L$6:$U$138,10,FALSE))</f>
        <v/>
      </c>
      <c r="B211" s="60" t="str">
        <f>IF(E211="","",VLOOKUP('OPĆI DIO'!$C$3,'OPĆI DIO'!$L$6:$U$138,9,FALSE))</f>
        <v/>
      </c>
      <c r="C211" s="103" t="str">
        <f t="shared" si="15"/>
        <v/>
      </c>
      <c r="D211" s="59" t="str">
        <f t="shared" si="16"/>
        <v/>
      </c>
      <c r="E211" s="68"/>
      <c r="F211" s="106" t="str">
        <f t="shared" si="17"/>
        <v/>
      </c>
      <c r="G211" s="101"/>
      <c r="H211" s="101"/>
      <c r="I211" s="101"/>
      <c r="J211" s="68"/>
      <c r="L211" t="str">
        <f t="shared" si="18"/>
        <v/>
      </c>
      <c r="M211" t="str">
        <f t="shared" si="19"/>
        <v/>
      </c>
    </row>
    <row r="212" spans="1:13">
      <c r="A212" s="60" t="str">
        <f>IF(E212="","",VLOOKUP('OPĆI DIO'!$C$3,'OPĆI DIO'!$L$6:$U$138,10,FALSE))</f>
        <v/>
      </c>
      <c r="B212" s="60" t="str">
        <f>IF(E212="","",VLOOKUP('OPĆI DIO'!$C$3,'OPĆI DIO'!$L$6:$U$138,9,FALSE))</f>
        <v/>
      </c>
      <c r="C212" s="103" t="str">
        <f t="shared" si="15"/>
        <v/>
      </c>
      <c r="D212" s="59" t="str">
        <f t="shared" si="16"/>
        <v/>
      </c>
      <c r="E212" s="68"/>
      <c r="F212" s="106" t="str">
        <f t="shared" si="17"/>
        <v/>
      </c>
      <c r="G212" s="101"/>
      <c r="H212" s="101"/>
      <c r="I212" s="101"/>
      <c r="J212" s="68"/>
      <c r="L212" t="str">
        <f t="shared" si="18"/>
        <v/>
      </c>
      <c r="M212" t="str">
        <f t="shared" si="19"/>
        <v/>
      </c>
    </row>
    <row r="213" spans="1:13">
      <c r="A213" s="60" t="str">
        <f>IF(E213="","",VLOOKUP('OPĆI DIO'!$C$3,'OPĆI DIO'!$L$6:$U$138,10,FALSE))</f>
        <v/>
      </c>
      <c r="B213" s="60" t="str">
        <f>IF(E213="","",VLOOKUP('OPĆI DIO'!$C$3,'OPĆI DIO'!$L$6:$U$138,9,FALSE))</f>
        <v/>
      </c>
      <c r="C213" s="103" t="str">
        <f t="shared" si="15"/>
        <v/>
      </c>
      <c r="D213" s="59" t="str">
        <f t="shared" si="16"/>
        <v/>
      </c>
      <c r="E213" s="68"/>
      <c r="F213" s="106" t="str">
        <f t="shared" si="17"/>
        <v/>
      </c>
      <c r="G213" s="101"/>
      <c r="H213" s="101"/>
      <c r="I213" s="101"/>
      <c r="J213" s="68"/>
      <c r="L213" t="str">
        <f t="shared" si="18"/>
        <v/>
      </c>
      <c r="M213" t="str">
        <f t="shared" si="19"/>
        <v/>
      </c>
    </row>
    <row r="214" spans="1:13">
      <c r="A214" s="60" t="str">
        <f>IF(E214="","",VLOOKUP('OPĆI DIO'!$C$3,'OPĆI DIO'!$L$6:$U$138,10,FALSE))</f>
        <v/>
      </c>
      <c r="B214" s="60" t="str">
        <f>IF(E214="","",VLOOKUP('OPĆI DIO'!$C$3,'OPĆI DIO'!$L$6:$U$138,9,FALSE))</f>
        <v/>
      </c>
      <c r="C214" s="103" t="str">
        <f t="shared" si="15"/>
        <v/>
      </c>
      <c r="D214" s="59" t="str">
        <f t="shared" si="16"/>
        <v/>
      </c>
      <c r="E214" s="68"/>
      <c r="F214" s="106" t="str">
        <f t="shared" si="17"/>
        <v/>
      </c>
      <c r="G214" s="101"/>
      <c r="H214" s="101"/>
      <c r="I214" s="101"/>
      <c r="J214" s="68"/>
      <c r="L214" t="str">
        <f t="shared" si="18"/>
        <v/>
      </c>
      <c r="M214" t="str">
        <f t="shared" si="19"/>
        <v/>
      </c>
    </row>
    <row r="215" spans="1:13">
      <c r="A215" s="60" t="str">
        <f>IF(E215="","",VLOOKUP('OPĆI DIO'!$C$3,'OPĆI DIO'!$L$6:$U$138,10,FALSE))</f>
        <v/>
      </c>
      <c r="B215" s="60" t="str">
        <f>IF(E215="","",VLOOKUP('OPĆI DIO'!$C$3,'OPĆI DIO'!$L$6:$U$138,9,FALSE))</f>
        <v/>
      </c>
      <c r="C215" s="103" t="str">
        <f t="shared" si="15"/>
        <v/>
      </c>
      <c r="D215" s="59" t="str">
        <f t="shared" si="16"/>
        <v/>
      </c>
      <c r="E215" s="68"/>
      <c r="F215" s="106" t="str">
        <f t="shared" si="17"/>
        <v/>
      </c>
      <c r="G215" s="101"/>
      <c r="H215" s="101"/>
      <c r="I215" s="101"/>
      <c r="J215" s="68"/>
      <c r="L215" t="str">
        <f t="shared" si="18"/>
        <v/>
      </c>
      <c r="M215" t="str">
        <f t="shared" si="19"/>
        <v/>
      </c>
    </row>
    <row r="216" spans="1:13">
      <c r="A216" s="60" t="str">
        <f>IF(E216="","",VLOOKUP('OPĆI DIO'!$C$3,'OPĆI DIO'!$L$6:$U$138,10,FALSE))</f>
        <v/>
      </c>
      <c r="B216" s="60" t="str">
        <f>IF(E216="","",VLOOKUP('OPĆI DIO'!$C$3,'OPĆI DIO'!$L$6:$U$138,9,FALSE))</f>
        <v/>
      </c>
      <c r="C216" s="103" t="str">
        <f t="shared" si="15"/>
        <v/>
      </c>
      <c r="D216" s="59" t="str">
        <f t="shared" si="16"/>
        <v/>
      </c>
      <c r="E216" s="68"/>
      <c r="F216" s="106" t="str">
        <f t="shared" si="17"/>
        <v/>
      </c>
      <c r="G216" s="101"/>
      <c r="H216" s="101"/>
      <c r="I216" s="101"/>
      <c r="J216" s="68"/>
      <c r="L216" t="str">
        <f t="shared" si="18"/>
        <v/>
      </c>
      <c r="M216" t="str">
        <f t="shared" si="19"/>
        <v/>
      </c>
    </row>
    <row r="217" spans="1:13">
      <c r="A217" s="60" t="str">
        <f>IF(E217="","",VLOOKUP('OPĆI DIO'!$C$3,'OPĆI DIO'!$L$6:$U$138,10,FALSE))</f>
        <v/>
      </c>
      <c r="B217" s="60" t="str">
        <f>IF(E217="","",VLOOKUP('OPĆI DIO'!$C$3,'OPĆI DIO'!$L$6:$U$138,9,FALSE))</f>
        <v/>
      </c>
      <c r="C217" s="103" t="str">
        <f t="shared" si="15"/>
        <v/>
      </c>
      <c r="D217" s="59" t="str">
        <f t="shared" si="16"/>
        <v/>
      </c>
      <c r="E217" s="68"/>
      <c r="F217" s="106" t="str">
        <f t="shared" si="17"/>
        <v/>
      </c>
      <c r="G217" s="101"/>
      <c r="H217" s="101"/>
      <c r="I217" s="101"/>
      <c r="J217" s="68"/>
      <c r="L217" t="str">
        <f t="shared" si="18"/>
        <v/>
      </c>
      <c r="M217" t="str">
        <f t="shared" si="19"/>
        <v/>
      </c>
    </row>
    <row r="218" spans="1:13">
      <c r="A218" s="60" t="str">
        <f>IF(E218="","",VLOOKUP('OPĆI DIO'!$C$3,'OPĆI DIO'!$L$6:$U$138,10,FALSE))</f>
        <v/>
      </c>
      <c r="B218" s="60" t="str">
        <f>IF(E218="","",VLOOKUP('OPĆI DIO'!$C$3,'OPĆI DIO'!$L$6:$U$138,9,FALSE))</f>
        <v/>
      </c>
      <c r="C218" s="103" t="str">
        <f t="shared" si="15"/>
        <v/>
      </c>
      <c r="D218" s="59" t="str">
        <f t="shared" si="16"/>
        <v/>
      </c>
      <c r="E218" s="68"/>
      <c r="F218" s="106" t="str">
        <f t="shared" si="17"/>
        <v/>
      </c>
      <c r="G218" s="101"/>
      <c r="H218" s="101"/>
      <c r="I218" s="101"/>
      <c r="J218" s="68"/>
      <c r="L218" t="str">
        <f t="shared" si="18"/>
        <v/>
      </c>
      <c r="M218" t="str">
        <f t="shared" si="19"/>
        <v/>
      </c>
    </row>
    <row r="219" spans="1:13">
      <c r="A219" s="60" t="str">
        <f>IF(E219="","",VLOOKUP('OPĆI DIO'!$C$3,'OPĆI DIO'!$L$6:$U$138,10,FALSE))</f>
        <v/>
      </c>
      <c r="B219" s="60" t="str">
        <f>IF(E219="","",VLOOKUP('OPĆI DIO'!$C$3,'OPĆI DIO'!$L$6:$U$138,9,FALSE))</f>
        <v/>
      </c>
      <c r="C219" s="103" t="str">
        <f t="shared" si="15"/>
        <v/>
      </c>
      <c r="D219" s="59" t="str">
        <f t="shared" si="16"/>
        <v/>
      </c>
      <c r="E219" s="68"/>
      <c r="F219" s="106" t="str">
        <f t="shared" si="17"/>
        <v/>
      </c>
      <c r="G219" s="101"/>
      <c r="H219" s="101"/>
      <c r="I219" s="101"/>
      <c r="J219" s="68"/>
      <c r="L219" t="str">
        <f t="shared" si="18"/>
        <v/>
      </c>
      <c r="M219" t="str">
        <f t="shared" si="19"/>
        <v/>
      </c>
    </row>
    <row r="220" spans="1:13">
      <c r="A220" s="60" t="str">
        <f>IF(E220="","",VLOOKUP('OPĆI DIO'!$C$3,'OPĆI DIO'!$L$6:$U$138,10,FALSE))</f>
        <v/>
      </c>
      <c r="B220" s="60" t="str">
        <f>IF(E220="","",VLOOKUP('OPĆI DIO'!$C$3,'OPĆI DIO'!$L$6:$U$138,9,FALSE))</f>
        <v/>
      </c>
      <c r="C220" s="103" t="str">
        <f t="shared" si="15"/>
        <v/>
      </c>
      <c r="D220" s="59" t="str">
        <f t="shared" si="16"/>
        <v/>
      </c>
      <c r="E220" s="68"/>
      <c r="F220" s="106" t="str">
        <f t="shared" si="17"/>
        <v/>
      </c>
      <c r="G220" s="101"/>
      <c r="H220" s="101"/>
      <c r="I220" s="101"/>
      <c r="J220" s="68"/>
      <c r="L220" t="str">
        <f t="shared" si="18"/>
        <v/>
      </c>
      <c r="M220" t="str">
        <f t="shared" si="19"/>
        <v/>
      </c>
    </row>
    <row r="221" spans="1:13">
      <c r="A221" s="60" t="str">
        <f>IF(E221="","",VLOOKUP('OPĆI DIO'!$C$3,'OPĆI DIO'!$L$6:$U$138,10,FALSE))</f>
        <v/>
      </c>
      <c r="B221" s="60" t="str">
        <f>IF(E221="","",VLOOKUP('OPĆI DIO'!$C$3,'OPĆI DIO'!$L$6:$U$138,9,FALSE))</f>
        <v/>
      </c>
      <c r="C221" s="103" t="str">
        <f t="shared" si="15"/>
        <v/>
      </c>
      <c r="D221" s="59" t="str">
        <f t="shared" si="16"/>
        <v/>
      </c>
      <c r="E221" s="68"/>
      <c r="F221" s="106" t="str">
        <f t="shared" si="17"/>
        <v/>
      </c>
      <c r="G221" s="101"/>
      <c r="H221" s="101"/>
      <c r="I221" s="101"/>
      <c r="J221" s="68"/>
      <c r="L221" t="str">
        <f t="shared" si="18"/>
        <v/>
      </c>
      <c r="M221" t="str">
        <f t="shared" si="19"/>
        <v/>
      </c>
    </row>
    <row r="222" spans="1:13">
      <c r="A222" s="60" t="str">
        <f>IF(E222="","",VLOOKUP('OPĆI DIO'!$C$3,'OPĆI DIO'!$L$6:$U$138,10,FALSE))</f>
        <v/>
      </c>
      <c r="B222" s="60" t="str">
        <f>IF(E222="","",VLOOKUP('OPĆI DIO'!$C$3,'OPĆI DIO'!$L$6:$U$138,9,FALSE))</f>
        <v/>
      </c>
      <c r="C222" s="103" t="str">
        <f t="shared" si="15"/>
        <v/>
      </c>
      <c r="D222" s="59" t="str">
        <f t="shared" si="16"/>
        <v/>
      </c>
      <c r="E222" s="68"/>
      <c r="F222" s="106" t="str">
        <f t="shared" si="17"/>
        <v/>
      </c>
      <c r="G222" s="101"/>
      <c r="H222" s="101"/>
      <c r="I222" s="101"/>
      <c r="J222" s="68"/>
      <c r="L222" t="str">
        <f t="shared" si="18"/>
        <v/>
      </c>
      <c r="M222" t="str">
        <f t="shared" si="19"/>
        <v/>
      </c>
    </row>
    <row r="223" spans="1:13">
      <c r="A223" s="60" t="str">
        <f>IF(E223="","",VLOOKUP('OPĆI DIO'!$C$3,'OPĆI DIO'!$L$6:$U$138,10,FALSE))</f>
        <v/>
      </c>
      <c r="B223" s="60" t="str">
        <f>IF(E223="","",VLOOKUP('OPĆI DIO'!$C$3,'OPĆI DIO'!$L$6:$U$138,9,FALSE))</f>
        <v/>
      </c>
      <c r="C223" s="103" t="str">
        <f t="shared" si="15"/>
        <v/>
      </c>
      <c r="D223" s="59" t="str">
        <f t="shared" si="16"/>
        <v/>
      </c>
      <c r="E223" s="68"/>
      <c r="F223" s="106" t="str">
        <f t="shared" si="17"/>
        <v/>
      </c>
      <c r="G223" s="101"/>
      <c r="H223" s="101"/>
      <c r="I223" s="101"/>
      <c r="J223" s="68"/>
      <c r="L223" t="str">
        <f t="shared" si="18"/>
        <v/>
      </c>
      <c r="M223" t="str">
        <f t="shared" si="19"/>
        <v/>
      </c>
    </row>
    <row r="224" spans="1:13">
      <c r="A224" s="60" t="str">
        <f>IF(E224="","",VLOOKUP('OPĆI DIO'!$C$3,'OPĆI DIO'!$L$6:$U$138,10,FALSE))</f>
        <v/>
      </c>
      <c r="B224" s="60" t="str">
        <f>IF(E224="","",VLOOKUP('OPĆI DIO'!$C$3,'OPĆI DIO'!$L$6:$U$138,9,FALSE))</f>
        <v/>
      </c>
      <c r="C224" s="103" t="str">
        <f t="shared" si="15"/>
        <v/>
      </c>
      <c r="D224" s="59" t="str">
        <f t="shared" si="16"/>
        <v/>
      </c>
      <c r="E224" s="68"/>
      <c r="F224" s="106" t="str">
        <f t="shared" si="17"/>
        <v/>
      </c>
      <c r="G224" s="101"/>
      <c r="H224" s="101"/>
      <c r="I224" s="101"/>
      <c r="J224" s="68"/>
      <c r="L224" t="str">
        <f t="shared" si="18"/>
        <v/>
      </c>
      <c r="M224" t="str">
        <f t="shared" si="19"/>
        <v/>
      </c>
    </row>
    <row r="225" spans="1:13">
      <c r="A225" s="60" t="str">
        <f>IF(E225="","",VLOOKUP('OPĆI DIO'!$C$3,'OPĆI DIO'!$L$6:$U$138,10,FALSE))</f>
        <v/>
      </c>
      <c r="B225" s="60" t="str">
        <f>IF(E225="","",VLOOKUP('OPĆI DIO'!$C$3,'OPĆI DIO'!$L$6:$U$138,9,FALSE))</f>
        <v/>
      </c>
      <c r="C225" s="103" t="str">
        <f t="shared" si="15"/>
        <v/>
      </c>
      <c r="D225" s="59" t="str">
        <f t="shared" si="16"/>
        <v/>
      </c>
      <c r="E225" s="68"/>
      <c r="F225" s="106" t="str">
        <f t="shared" si="17"/>
        <v/>
      </c>
      <c r="G225" s="101"/>
      <c r="H225" s="101"/>
      <c r="I225" s="101"/>
      <c r="J225" s="68"/>
      <c r="L225" t="str">
        <f t="shared" si="18"/>
        <v/>
      </c>
      <c r="M225" t="str">
        <f t="shared" si="19"/>
        <v/>
      </c>
    </row>
    <row r="226" spans="1:13">
      <c r="A226" s="60" t="str">
        <f>IF(E226="","",VLOOKUP('OPĆI DIO'!$C$3,'OPĆI DIO'!$L$6:$U$138,10,FALSE))</f>
        <v/>
      </c>
      <c r="B226" s="60" t="str">
        <f>IF(E226="","",VLOOKUP('OPĆI DIO'!$C$3,'OPĆI DIO'!$L$6:$U$138,9,FALSE))</f>
        <v/>
      </c>
      <c r="C226" s="103" t="str">
        <f t="shared" si="15"/>
        <v/>
      </c>
      <c r="D226" s="59" t="str">
        <f t="shared" si="16"/>
        <v/>
      </c>
      <c r="E226" s="68"/>
      <c r="F226" s="106" t="str">
        <f t="shared" si="17"/>
        <v/>
      </c>
      <c r="G226" s="101"/>
      <c r="H226" s="101"/>
      <c r="I226" s="101"/>
      <c r="J226" s="68"/>
      <c r="L226" t="str">
        <f t="shared" si="18"/>
        <v/>
      </c>
      <c r="M226" t="str">
        <f t="shared" si="19"/>
        <v/>
      </c>
    </row>
    <row r="227" spans="1:13">
      <c r="A227" s="60" t="str">
        <f>IF(E227="","",VLOOKUP('OPĆI DIO'!$C$3,'OPĆI DIO'!$L$6:$U$138,10,FALSE))</f>
        <v/>
      </c>
      <c r="B227" s="60" t="str">
        <f>IF(E227="","",VLOOKUP('OPĆI DIO'!$C$3,'OPĆI DIO'!$L$6:$U$138,9,FALSE))</f>
        <v/>
      </c>
      <c r="C227" s="103" t="str">
        <f t="shared" si="15"/>
        <v/>
      </c>
      <c r="D227" s="59" t="str">
        <f t="shared" si="16"/>
        <v/>
      </c>
      <c r="E227" s="68"/>
      <c r="F227" s="106" t="str">
        <f t="shared" si="17"/>
        <v/>
      </c>
      <c r="G227" s="101"/>
      <c r="H227" s="101"/>
      <c r="I227" s="101"/>
      <c r="J227" s="68"/>
      <c r="L227" t="str">
        <f t="shared" si="18"/>
        <v/>
      </c>
      <c r="M227" t="str">
        <f t="shared" si="19"/>
        <v/>
      </c>
    </row>
    <row r="228" spans="1:13">
      <c r="A228" s="60" t="str">
        <f>IF(E228="","",VLOOKUP('OPĆI DIO'!$C$3,'OPĆI DIO'!$L$6:$U$138,10,FALSE))</f>
        <v/>
      </c>
      <c r="B228" s="60" t="str">
        <f>IF(E228="","",VLOOKUP('OPĆI DIO'!$C$3,'OPĆI DIO'!$L$6:$U$138,9,FALSE))</f>
        <v/>
      </c>
      <c r="C228" s="103" t="str">
        <f t="shared" si="15"/>
        <v/>
      </c>
      <c r="D228" s="59" t="str">
        <f t="shared" si="16"/>
        <v/>
      </c>
      <c r="E228" s="68"/>
      <c r="F228" s="106" t="str">
        <f t="shared" si="17"/>
        <v/>
      </c>
      <c r="G228" s="101"/>
      <c r="H228" s="101"/>
      <c r="I228" s="101"/>
      <c r="J228" s="68"/>
      <c r="L228" t="str">
        <f t="shared" si="18"/>
        <v/>
      </c>
      <c r="M228" t="str">
        <f t="shared" si="19"/>
        <v/>
      </c>
    </row>
    <row r="229" spans="1:13">
      <c r="A229" s="60" t="str">
        <f>IF(E229="","",VLOOKUP('OPĆI DIO'!$C$3,'OPĆI DIO'!$L$6:$U$138,10,FALSE))</f>
        <v/>
      </c>
      <c r="B229" s="60" t="str">
        <f>IF(E229="","",VLOOKUP('OPĆI DIO'!$C$3,'OPĆI DIO'!$L$6:$U$138,9,FALSE))</f>
        <v/>
      </c>
      <c r="C229" s="103" t="str">
        <f t="shared" si="15"/>
        <v/>
      </c>
      <c r="D229" s="59" t="str">
        <f t="shared" si="16"/>
        <v/>
      </c>
      <c r="E229" s="68"/>
      <c r="F229" s="106" t="str">
        <f t="shared" si="17"/>
        <v/>
      </c>
      <c r="G229" s="101"/>
      <c r="H229" s="101"/>
      <c r="I229" s="101"/>
      <c r="J229" s="68"/>
      <c r="L229" t="str">
        <f t="shared" si="18"/>
        <v/>
      </c>
      <c r="M229" t="str">
        <f t="shared" si="19"/>
        <v/>
      </c>
    </row>
    <row r="230" spans="1:13">
      <c r="A230" s="60" t="str">
        <f>IF(E230="","",VLOOKUP('OPĆI DIO'!$C$3,'OPĆI DIO'!$L$6:$U$138,10,FALSE))</f>
        <v/>
      </c>
      <c r="B230" s="60" t="str">
        <f>IF(E230="","",VLOOKUP('OPĆI DIO'!$C$3,'OPĆI DIO'!$L$6:$U$138,9,FALSE))</f>
        <v/>
      </c>
      <c r="C230" s="103" t="str">
        <f t="shared" si="15"/>
        <v/>
      </c>
      <c r="D230" s="59" t="str">
        <f t="shared" si="16"/>
        <v/>
      </c>
      <c r="E230" s="68"/>
      <c r="F230" s="106" t="str">
        <f t="shared" si="17"/>
        <v/>
      </c>
      <c r="G230" s="101"/>
      <c r="H230" s="101"/>
      <c r="I230" s="101"/>
      <c r="J230" s="68"/>
      <c r="L230" t="str">
        <f t="shared" si="18"/>
        <v/>
      </c>
      <c r="M230" t="str">
        <f t="shared" si="19"/>
        <v/>
      </c>
    </row>
    <row r="231" spans="1:13">
      <c r="A231" s="60" t="str">
        <f>IF(E231="","",VLOOKUP('OPĆI DIO'!$C$3,'OPĆI DIO'!$L$6:$U$138,10,FALSE))</f>
        <v/>
      </c>
      <c r="B231" s="60" t="str">
        <f>IF(E231="","",VLOOKUP('OPĆI DIO'!$C$3,'OPĆI DIO'!$L$6:$U$138,9,FALSE))</f>
        <v/>
      </c>
      <c r="C231" s="103" t="str">
        <f t="shared" si="15"/>
        <v/>
      </c>
      <c r="D231" s="59" t="str">
        <f t="shared" si="16"/>
        <v/>
      </c>
      <c r="E231" s="68"/>
      <c r="F231" s="106" t="str">
        <f t="shared" si="17"/>
        <v/>
      </c>
      <c r="G231" s="101"/>
      <c r="H231" s="101"/>
      <c r="I231" s="101"/>
      <c r="J231" s="68"/>
      <c r="L231" t="str">
        <f t="shared" si="18"/>
        <v/>
      </c>
      <c r="M231" t="str">
        <f t="shared" si="19"/>
        <v/>
      </c>
    </row>
    <row r="232" spans="1:13">
      <c r="A232" s="60" t="str">
        <f>IF(E232="","",VLOOKUP('OPĆI DIO'!$C$3,'OPĆI DIO'!$L$6:$U$138,10,FALSE))</f>
        <v/>
      </c>
      <c r="B232" s="60" t="str">
        <f>IF(E232="","",VLOOKUP('OPĆI DIO'!$C$3,'OPĆI DIO'!$L$6:$U$138,9,FALSE))</f>
        <v/>
      </c>
      <c r="C232" s="103" t="str">
        <f t="shared" si="15"/>
        <v/>
      </c>
      <c r="D232" s="59" t="str">
        <f t="shared" si="16"/>
        <v/>
      </c>
      <c r="E232" s="68"/>
      <c r="F232" s="106" t="str">
        <f t="shared" si="17"/>
        <v/>
      </c>
      <c r="G232" s="101"/>
      <c r="H232" s="101"/>
      <c r="I232" s="101"/>
      <c r="J232" s="68"/>
      <c r="L232" t="str">
        <f t="shared" si="18"/>
        <v/>
      </c>
      <c r="M232" t="str">
        <f t="shared" si="19"/>
        <v/>
      </c>
    </row>
    <row r="233" spans="1:13">
      <c r="A233" s="60" t="str">
        <f>IF(E233="","",VLOOKUP('OPĆI DIO'!$C$3,'OPĆI DIO'!$L$6:$U$138,10,FALSE))</f>
        <v/>
      </c>
      <c r="B233" s="60" t="str">
        <f>IF(E233="","",VLOOKUP('OPĆI DIO'!$C$3,'OPĆI DIO'!$L$6:$U$138,9,FALSE))</f>
        <v/>
      </c>
      <c r="C233" s="103" t="str">
        <f t="shared" si="15"/>
        <v/>
      </c>
      <c r="D233" s="59" t="str">
        <f t="shared" si="16"/>
        <v/>
      </c>
      <c r="E233" s="68"/>
      <c r="F233" s="106" t="str">
        <f t="shared" si="17"/>
        <v/>
      </c>
      <c r="G233" s="101"/>
      <c r="H233" s="101"/>
      <c r="I233" s="101"/>
      <c r="J233" s="68"/>
      <c r="L233" t="str">
        <f t="shared" si="18"/>
        <v/>
      </c>
      <c r="M233" t="str">
        <f t="shared" si="19"/>
        <v/>
      </c>
    </row>
    <row r="234" spans="1:13">
      <c r="A234" s="60" t="str">
        <f>IF(E234="","",VLOOKUP('OPĆI DIO'!$C$3,'OPĆI DIO'!$L$6:$U$138,10,FALSE))</f>
        <v/>
      </c>
      <c r="B234" s="60" t="str">
        <f>IF(E234="","",VLOOKUP('OPĆI DIO'!$C$3,'OPĆI DIO'!$L$6:$U$138,9,FALSE))</f>
        <v/>
      </c>
      <c r="C234" s="103" t="str">
        <f t="shared" si="15"/>
        <v/>
      </c>
      <c r="D234" s="59" t="str">
        <f t="shared" si="16"/>
        <v/>
      </c>
      <c r="E234" s="68"/>
      <c r="F234" s="106" t="str">
        <f t="shared" si="17"/>
        <v/>
      </c>
      <c r="G234" s="101"/>
      <c r="H234" s="101"/>
      <c r="I234" s="101"/>
      <c r="J234" s="68"/>
      <c r="L234" t="str">
        <f t="shared" si="18"/>
        <v/>
      </c>
      <c r="M234" t="str">
        <f t="shared" si="19"/>
        <v/>
      </c>
    </row>
    <row r="235" spans="1:13">
      <c r="A235" s="60" t="str">
        <f>IF(E235="","",VLOOKUP('OPĆI DIO'!$C$3,'OPĆI DIO'!$L$6:$U$138,10,FALSE))</f>
        <v/>
      </c>
      <c r="B235" s="60" t="str">
        <f>IF(E235="","",VLOOKUP('OPĆI DIO'!$C$3,'OPĆI DIO'!$L$6:$U$138,9,FALSE))</f>
        <v/>
      </c>
      <c r="C235" s="103" t="str">
        <f t="shared" si="15"/>
        <v/>
      </c>
      <c r="D235" s="59" t="str">
        <f t="shared" si="16"/>
        <v/>
      </c>
      <c r="E235" s="68"/>
      <c r="F235" s="106" t="str">
        <f t="shared" si="17"/>
        <v/>
      </c>
      <c r="G235" s="101"/>
      <c r="H235" s="101"/>
      <c r="I235" s="101"/>
      <c r="J235" s="68"/>
      <c r="L235" t="str">
        <f t="shared" si="18"/>
        <v/>
      </c>
      <c r="M235" t="str">
        <f t="shared" si="19"/>
        <v/>
      </c>
    </row>
    <row r="236" spans="1:13">
      <c r="A236" s="60" t="str">
        <f>IF(E236="","",VLOOKUP('OPĆI DIO'!$C$3,'OPĆI DIO'!$L$6:$U$138,10,FALSE))</f>
        <v/>
      </c>
      <c r="B236" s="60" t="str">
        <f>IF(E236="","",VLOOKUP('OPĆI DIO'!$C$3,'OPĆI DIO'!$L$6:$U$138,9,FALSE))</f>
        <v/>
      </c>
      <c r="C236" s="103" t="str">
        <f t="shared" si="15"/>
        <v/>
      </c>
      <c r="D236" s="59" t="str">
        <f t="shared" si="16"/>
        <v/>
      </c>
      <c r="E236" s="68"/>
      <c r="F236" s="106" t="str">
        <f t="shared" si="17"/>
        <v/>
      </c>
      <c r="G236" s="101"/>
      <c r="H236" s="101"/>
      <c r="I236" s="101"/>
      <c r="J236" s="68"/>
      <c r="L236" t="str">
        <f t="shared" si="18"/>
        <v/>
      </c>
      <c r="M236" t="str">
        <f t="shared" si="19"/>
        <v/>
      </c>
    </row>
    <row r="237" spans="1:13">
      <c r="A237" s="60" t="str">
        <f>IF(E237="","",VLOOKUP('OPĆI DIO'!$C$3,'OPĆI DIO'!$L$6:$U$138,10,FALSE))</f>
        <v/>
      </c>
      <c r="B237" s="60" t="str">
        <f>IF(E237="","",VLOOKUP('OPĆI DIO'!$C$3,'OPĆI DIO'!$L$6:$U$138,9,FALSE))</f>
        <v/>
      </c>
      <c r="C237" s="103" t="str">
        <f t="shared" si="15"/>
        <v/>
      </c>
      <c r="D237" s="59" t="str">
        <f t="shared" si="16"/>
        <v/>
      </c>
      <c r="E237" s="68"/>
      <c r="F237" s="106" t="str">
        <f t="shared" si="17"/>
        <v/>
      </c>
      <c r="G237" s="101"/>
      <c r="H237" s="101"/>
      <c r="I237" s="101"/>
      <c r="J237" s="68"/>
      <c r="L237" t="str">
        <f t="shared" si="18"/>
        <v/>
      </c>
      <c r="M237" t="str">
        <f t="shared" si="19"/>
        <v/>
      </c>
    </row>
    <row r="238" spans="1:13">
      <c r="A238" s="60" t="str">
        <f>IF(E238="","",VLOOKUP('OPĆI DIO'!$C$3,'OPĆI DIO'!$L$6:$U$138,10,FALSE))</f>
        <v/>
      </c>
      <c r="B238" s="60" t="str">
        <f>IF(E238="","",VLOOKUP('OPĆI DIO'!$C$3,'OPĆI DIO'!$L$6:$U$138,9,FALSE))</f>
        <v/>
      </c>
      <c r="C238" s="103" t="str">
        <f t="shared" si="15"/>
        <v/>
      </c>
      <c r="D238" s="59" t="str">
        <f t="shared" si="16"/>
        <v/>
      </c>
      <c r="E238" s="68"/>
      <c r="F238" s="106" t="str">
        <f t="shared" si="17"/>
        <v/>
      </c>
      <c r="G238" s="101"/>
      <c r="H238" s="101"/>
      <c r="I238" s="101"/>
      <c r="J238" s="68"/>
      <c r="L238" t="str">
        <f t="shared" si="18"/>
        <v/>
      </c>
      <c r="M238" t="str">
        <f t="shared" si="19"/>
        <v/>
      </c>
    </row>
    <row r="239" spans="1:13">
      <c r="A239" s="60" t="str">
        <f>IF(E239="","",VLOOKUP('OPĆI DIO'!$C$3,'OPĆI DIO'!$L$6:$U$138,10,FALSE))</f>
        <v/>
      </c>
      <c r="B239" s="60" t="str">
        <f>IF(E239="","",VLOOKUP('OPĆI DIO'!$C$3,'OPĆI DIO'!$L$6:$U$138,9,FALSE))</f>
        <v/>
      </c>
      <c r="C239" s="103" t="str">
        <f t="shared" si="15"/>
        <v/>
      </c>
      <c r="D239" s="59" t="str">
        <f t="shared" si="16"/>
        <v/>
      </c>
      <c r="E239" s="68"/>
      <c r="F239" s="106" t="str">
        <f t="shared" si="17"/>
        <v/>
      </c>
      <c r="G239" s="101"/>
      <c r="H239" s="101"/>
      <c r="I239" s="101"/>
      <c r="J239" s="68"/>
      <c r="L239" t="str">
        <f t="shared" si="18"/>
        <v/>
      </c>
      <c r="M239" t="str">
        <f t="shared" si="19"/>
        <v/>
      </c>
    </row>
    <row r="240" spans="1:13">
      <c r="A240" s="60" t="str">
        <f>IF(E240="","",VLOOKUP('OPĆI DIO'!$C$3,'OPĆI DIO'!$L$6:$U$138,10,FALSE))</f>
        <v/>
      </c>
      <c r="B240" s="60" t="str">
        <f>IF(E240="","",VLOOKUP('OPĆI DIO'!$C$3,'OPĆI DIO'!$L$6:$U$138,9,FALSE))</f>
        <v/>
      </c>
      <c r="C240" s="103" t="str">
        <f t="shared" si="15"/>
        <v/>
      </c>
      <c r="D240" s="59" t="str">
        <f t="shared" si="16"/>
        <v/>
      </c>
      <c r="E240" s="68"/>
      <c r="F240" s="106" t="str">
        <f t="shared" si="17"/>
        <v/>
      </c>
      <c r="G240" s="101"/>
      <c r="H240" s="101"/>
      <c r="I240" s="101"/>
      <c r="J240" s="68"/>
      <c r="L240" t="str">
        <f t="shared" si="18"/>
        <v/>
      </c>
      <c r="M240" t="str">
        <f t="shared" si="19"/>
        <v/>
      </c>
    </row>
    <row r="241" spans="1:13">
      <c r="A241" s="60" t="str">
        <f>IF(E241="","",VLOOKUP('OPĆI DIO'!$C$3,'OPĆI DIO'!$L$6:$U$138,10,FALSE))</f>
        <v/>
      </c>
      <c r="B241" s="60" t="str">
        <f>IF(E241="","",VLOOKUP('OPĆI DIO'!$C$3,'OPĆI DIO'!$L$6:$U$138,9,FALSE))</f>
        <v/>
      </c>
      <c r="C241" s="103" t="str">
        <f t="shared" si="15"/>
        <v/>
      </c>
      <c r="D241" s="59" t="str">
        <f t="shared" si="16"/>
        <v/>
      </c>
      <c r="E241" s="68"/>
      <c r="F241" s="106" t="str">
        <f t="shared" si="17"/>
        <v/>
      </c>
      <c r="G241" s="101"/>
      <c r="H241" s="101"/>
      <c r="I241" s="101"/>
      <c r="J241" s="68"/>
      <c r="L241" t="str">
        <f t="shared" si="18"/>
        <v/>
      </c>
      <c r="M241" t="str">
        <f t="shared" si="19"/>
        <v/>
      </c>
    </row>
    <row r="242" spans="1:13">
      <c r="A242" s="60" t="str">
        <f>IF(E242="","",VLOOKUP('OPĆI DIO'!$C$3,'OPĆI DIO'!$L$6:$U$138,10,FALSE))</f>
        <v/>
      </c>
      <c r="B242" s="60" t="str">
        <f>IF(E242="","",VLOOKUP('OPĆI DIO'!$C$3,'OPĆI DIO'!$L$6:$U$138,9,FALSE))</f>
        <v/>
      </c>
      <c r="C242" s="103" t="str">
        <f t="shared" si="15"/>
        <v/>
      </c>
      <c r="D242" s="59" t="str">
        <f t="shared" si="16"/>
        <v/>
      </c>
      <c r="E242" s="68"/>
      <c r="F242" s="106" t="str">
        <f t="shared" si="17"/>
        <v/>
      </c>
      <c r="G242" s="101"/>
      <c r="H242" s="101"/>
      <c r="I242" s="101"/>
      <c r="J242" s="68"/>
      <c r="L242" t="str">
        <f t="shared" si="18"/>
        <v/>
      </c>
      <c r="M242" t="str">
        <f t="shared" si="19"/>
        <v/>
      </c>
    </row>
    <row r="243" spans="1:13">
      <c r="A243" s="60" t="str">
        <f>IF(E243="","",VLOOKUP('OPĆI DIO'!$C$3,'OPĆI DIO'!$L$6:$U$138,10,FALSE))</f>
        <v/>
      </c>
      <c r="B243" s="60" t="str">
        <f>IF(E243="","",VLOOKUP('OPĆI DIO'!$C$3,'OPĆI DIO'!$L$6:$U$138,9,FALSE))</f>
        <v/>
      </c>
      <c r="C243" s="103" t="str">
        <f t="shared" si="15"/>
        <v/>
      </c>
      <c r="D243" s="59" t="str">
        <f t="shared" si="16"/>
        <v/>
      </c>
      <c r="E243" s="68"/>
      <c r="F243" s="106" t="str">
        <f t="shared" si="17"/>
        <v/>
      </c>
      <c r="G243" s="101"/>
      <c r="H243" s="101"/>
      <c r="I243" s="101"/>
      <c r="J243" s="68"/>
      <c r="L243" t="str">
        <f t="shared" si="18"/>
        <v/>
      </c>
      <c r="M243" t="str">
        <f t="shared" si="19"/>
        <v/>
      </c>
    </row>
    <row r="244" spans="1:13">
      <c r="A244" s="60" t="str">
        <f>IF(E244="","",VLOOKUP('OPĆI DIO'!$C$3,'OPĆI DIO'!$L$6:$U$138,10,FALSE))</f>
        <v/>
      </c>
      <c r="B244" s="60" t="str">
        <f>IF(E244="","",VLOOKUP('OPĆI DIO'!$C$3,'OPĆI DIO'!$L$6:$U$138,9,FALSE))</f>
        <v/>
      </c>
      <c r="C244" s="103" t="str">
        <f t="shared" si="15"/>
        <v/>
      </c>
      <c r="D244" s="59" t="str">
        <f t="shared" si="16"/>
        <v/>
      </c>
      <c r="E244" s="68"/>
      <c r="F244" s="106" t="str">
        <f t="shared" si="17"/>
        <v/>
      </c>
      <c r="G244" s="101"/>
      <c r="H244" s="101"/>
      <c r="I244" s="101"/>
      <c r="J244" s="68"/>
      <c r="L244" t="str">
        <f t="shared" si="18"/>
        <v/>
      </c>
      <c r="M244" t="str">
        <f t="shared" si="19"/>
        <v/>
      </c>
    </row>
    <row r="245" spans="1:13">
      <c r="A245" s="60" t="str">
        <f>IF(E245="","",VLOOKUP('OPĆI DIO'!$C$3,'OPĆI DIO'!$L$6:$U$138,10,FALSE))</f>
        <v/>
      </c>
      <c r="B245" s="60" t="str">
        <f>IF(E245="","",VLOOKUP('OPĆI DIO'!$C$3,'OPĆI DIO'!$L$6:$U$138,9,FALSE))</f>
        <v/>
      </c>
      <c r="C245" s="103" t="str">
        <f t="shared" si="15"/>
        <v/>
      </c>
      <c r="D245" s="59" t="str">
        <f t="shared" si="16"/>
        <v/>
      </c>
      <c r="E245" s="68"/>
      <c r="F245" s="106" t="str">
        <f t="shared" si="17"/>
        <v/>
      </c>
      <c r="G245" s="101"/>
      <c r="H245" s="101"/>
      <c r="I245" s="101"/>
      <c r="J245" s="68"/>
      <c r="L245" t="str">
        <f t="shared" si="18"/>
        <v/>
      </c>
      <c r="M245" t="str">
        <f t="shared" si="19"/>
        <v/>
      </c>
    </row>
    <row r="246" spans="1:13">
      <c r="A246" s="60" t="str">
        <f>IF(E246="","",VLOOKUP('OPĆI DIO'!$C$3,'OPĆI DIO'!$L$6:$U$138,10,FALSE))</f>
        <v/>
      </c>
      <c r="B246" s="60" t="str">
        <f>IF(E246="","",VLOOKUP('OPĆI DIO'!$C$3,'OPĆI DIO'!$L$6:$U$138,9,FALSE))</f>
        <v/>
      </c>
      <c r="C246" s="103" t="str">
        <f t="shared" si="15"/>
        <v/>
      </c>
      <c r="D246" s="59" t="str">
        <f t="shared" si="16"/>
        <v/>
      </c>
      <c r="E246" s="68"/>
      <c r="F246" s="106" t="str">
        <f t="shared" si="17"/>
        <v/>
      </c>
      <c r="G246" s="101"/>
      <c r="H246" s="101"/>
      <c r="I246" s="101"/>
      <c r="J246" s="68"/>
      <c r="L246" t="str">
        <f t="shared" si="18"/>
        <v/>
      </c>
      <c r="M246" t="str">
        <f t="shared" si="19"/>
        <v/>
      </c>
    </row>
    <row r="247" spans="1:13">
      <c r="A247" s="60" t="str">
        <f>IF(E247="","",VLOOKUP('OPĆI DIO'!$C$3,'OPĆI DIO'!$L$6:$U$138,10,FALSE))</f>
        <v/>
      </c>
      <c r="B247" s="60" t="str">
        <f>IF(E247="","",VLOOKUP('OPĆI DIO'!$C$3,'OPĆI DIO'!$L$6:$U$138,9,FALSE))</f>
        <v/>
      </c>
      <c r="C247" s="103" t="str">
        <f t="shared" si="15"/>
        <v/>
      </c>
      <c r="D247" s="59" t="str">
        <f t="shared" si="16"/>
        <v/>
      </c>
      <c r="E247" s="68"/>
      <c r="F247" s="106" t="str">
        <f t="shared" si="17"/>
        <v/>
      </c>
      <c r="G247" s="101"/>
      <c r="H247" s="101"/>
      <c r="I247" s="101"/>
      <c r="J247" s="68"/>
      <c r="L247" t="str">
        <f t="shared" si="18"/>
        <v/>
      </c>
      <c r="M247" t="str">
        <f t="shared" si="19"/>
        <v/>
      </c>
    </row>
    <row r="248" spans="1:13">
      <c r="A248" s="60" t="str">
        <f>IF(E248="","",VLOOKUP('OPĆI DIO'!$C$3,'OPĆI DIO'!$L$6:$U$138,10,FALSE))</f>
        <v/>
      </c>
      <c r="B248" s="60" t="str">
        <f>IF(E248="","",VLOOKUP('OPĆI DIO'!$C$3,'OPĆI DIO'!$L$6:$U$138,9,FALSE))</f>
        <v/>
      </c>
      <c r="C248" s="103" t="str">
        <f t="shared" si="15"/>
        <v/>
      </c>
      <c r="D248" s="59" t="str">
        <f t="shared" si="16"/>
        <v/>
      </c>
      <c r="E248" s="68"/>
      <c r="F248" s="106" t="str">
        <f t="shared" si="17"/>
        <v/>
      </c>
      <c r="G248" s="101"/>
      <c r="H248" s="101"/>
      <c r="I248" s="101"/>
      <c r="J248" s="68"/>
      <c r="L248" t="str">
        <f t="shared" si="18"/>
        <v/>
      </c>
      <c r="M248" t="str">
        <f t="shared" si="19"/>
        <v/>
      </c>
    </row>
    <row r="249" spans="1:13">
      <c r="A249" s="60" t="str">
        <f>IF(E249="","",VLOOKUP('OPĆI DIO'!$C$3,'OPĆI DIO'!$L$6:$U$138,10,FALSE))</f>
        <v/>
      </c>
      <c r="B249" s="60" t="str">
        <f>IF(E249="","",VLOOKUP('OPĆI DIO'!$C$3,'OPĆI DIO'!$L$6:$U$138,9,FALSE))</f>
        <v/>
      </c>
      <c r="C249" s="103" t="str">
        <f t="shared" si="15"/>
        <v/>
      </c>
      <c r="D249" s="59" t="str">
        <f t="shared" si="16"/>
        <v/>
      </c>
      <c r="E249" s="68"/>
      <c r="F249" s="106" t="str">
        <f t="shared" si="17"/>
        <v/>
      </c>
      <c r="G249" s="101"/>
      <c r="H249" s="101"/>
      <c r="I249" s="101"/>
      <c r="J249" s="68"/>
      <c r="L249" t="str">
        <f t="shared" si="18"/>
        <v/>
      </c>
      <c r="M249" t="str">
        <f t="shared" si="19"/>
        <v/>
      </c>
    </row>
    <row r="250" spans="1:13">
      <c r="A250" s="60" t="str">
        <f>IF(E250="","",VLOOKUP('OPĆI DIO'!$C$3,'OPĆI DIO'!$L$6:$U$138,10,FALSE))</f>
        <v/>
      </c>
      <c r="B250" s="60" t="str">
        <f>IF(E250="","",VLOOKUP('OPĆI DIO'!$C$3,'OPĆI DIO'!$L$6:$U$138,9,FALSE))</f>
        <v/>
      </c>
      <c r="C250" s="103" t="str">
        <f t="shared" si="15"/>
        <v/>
      </c>
      <c r="D250" s="59" t="str">
        <f t="shared" si="16"/>
        <v/>
      </c>
      <c r="E250" s="68"/>
      <c r="F250" s="106" t="str">
        <f t="shared" si="17"/>
        <v/>
      </c>
      <c r="G250" s="101"/>
      <c r="H250" s="101"/>
      <c r="I250" s="101"/>
      <c r="J250" s="68"/>
      <c r="L250" t="str">
        <f t="shared" si="18"/>
        <v/>
      </c>
      <c r="M250" t="str">
        <f t="shared" si="19"/>
        <v/>
      </c>
    </row>
    <row r="251" spans="1:13">
      <c r="A251" s="60" t="str">
        <f>IF(E251="","",VLOOKUP('OPĆI DIO'!$C$3,'OPĆI DIO'!$L$6:$U$138,10,FALSE))</f>
        <v/>
      </c>
      <c r="B251" s="60" t="str">
        <f>IF(E251="","",VLOOKUP('OPĆI DIO'!$C$3,'OPĆI DIO'!$L$6:$U$138,9,FALSE))</f>
        <v/>
      </c>
      <c r="C251" s="103" t="str">
        <f t="shared" si="15"/>
        <v/>
      </c>
      <c r="D251" s="59" t="str">
        <f t="shared" si="16"/>
        <v/>
      </c>
      <c r="E251" s="68"/>
      <c r="F251" s="106" t="str">
        <f t="shared" si="17"/>
        <v/>
      </c>
      <c r="G251" s="101"/>
      <c r="H251" s="101"/>
      <c r="I251" s="101"/>
      <c r="J251" s="68"/>
      <c r="L251" t="str">
        <f t="shared" si="18"/>
        <v/>
      </c>
      <c r="M251" t="str">
        <f t="shared" si="19"/>
        <v/>
      </c>
    </row>
    <row r="252" spans="1:13">
      <c r="A252" s="60" t="str">
        <f>IF(E252="","",VLOOKUP('OPĆI DIO'!$C$3,'OPĆI DIO'!$L$6:$U$138,10,FALSE))</f>
        <v/>
      </c>
      <c r="B252" s="60" t="str">
        <f>IF(E252="","",VLOOKUP('OPĆI DIO'!$C$3,'OPĆI DIO'!$L$6:$U$138,9,FALSE))</f>
        <v/>
      </c>
      <c r="C252" s="103" t="str">
        <f t="shared" si="15"/>
        <v/>
      </c>
      <c r="D252" s="59" t="str">
        <f t="shared" si="16"/>
        <v/>
      </c>
      <c r="E252" s="68"/>
      <c r="F252" s="106" t="str">
        <f t="shared" si="17"/>
        <v/>
      </c>
      <c r="G252" s="101"/>
      <c r="H252" s="101"/>
      <c r="I252" s="101"/>
      <c r="J252" s="68"/>
      <c r="L252" t="str">
        <f t="shared" si="18"/>
        <v/>
      </c>
      <c r="M252" t="str">
        <f t="shared" si="19"/>
        <v/>
      </c>
    </row>
    <row r="253" spans="1:13">
      <c r="A253" s="60" t="str">
        <f>IF(E253="","",VLOOKUP('OPĆI DIO'!$C$3,'OPĆI DIO'!$L$6:$U$138,10,FALSE))</f>
        <v/>
      </c>
      <c r="B253" s="60" t="str">
        <f>IF(E253="","",VLOOKUP('OPĆI DIO'!$C$3,'OPĆI DIO'!$L$6:$U$138,9,FALSE))</f>
        <v/>
      </c>
      <c r="C253" s="103" t="str">
        <f t="shared" si="15"/>
        <v/>
      </c>
      <c r="D253" s="59" t="str">
        <f t="shared" si="16"/>
        <v/>
      </c>
      <c r="E253" s="68"/>
      <c r="F253" s="106" t="str">
        <f t="shared" si="17"/>
        <v/>
      </c>
      <c r="G253" s="101"/>
      <c r="H253" s="101"/>
      <c r="I253" s="101"/>
      <c r="J253" s="68"/>
      <c r="L253" t="str">
        <f t="shared" si="18"/>
        <v/>
      </c>
      <c r="M253" t="str">
        <f t="shared" si="19"/>
        <v/>
      </c>
    </row>
    <row r="254" spans="1:13">
      <c r="A254" s="60" t="str">
        <f>IF(E254="","",VLOOKUP('OPĆI DIO'!$C$3,'OPĆI DIO'!$L$6:$U$138,10,FALSE))</f>
        <v/>
      </c>
      <c r="B254" s="60" t="str">
        <f>IF(E254="","",VLOOKUP('OPĆI DIO'!$C$3,'OPĆI DIO'!$L$6:$U$138,9,FALSE))</f>
        <v/>
      </c>
      <c r="C254" s="103" t="str">
        <f t="shared" si="15"/>
        <v/>
      </c>
      <c r="D254" s="59" t="str">
        <f t="shared" si="16"/>
        <v/>
      </c>
      <c r="E254" s="68"/>
      <c r="F254" s="106" t="str">
        <f t="shared" si="17"/>
        <v/>
      </c>
      <c r="G254" s="101"/>
      <c r="H254" s="101"/>
      <c r="I254" s="101"/>
      <c r="J254" s="68"/>
      <c r="L254" t="str">
        <f t="shared" si="18"/>
        <v/>
      </c>
      <c r="M254" t="str">
        <f t="shared" si="19"/>
        <v/>
      </c>
    </row>
    <row r="255" spans="1:13">
      <c r="A255" s="60" t="str">
        <f>IF(E255="","",VLOOKUP('OPĆI DIO'!$C$3,'OPĆI DIO'!$L$6:$U$138,10,FALSE))</f>
        <v/>
      </c>
      <c r="B255" s="60" t="str">
        <f>IF(E255="","",VLOOKUP('OPĆI DIO'!$C$3,'OPĆI DIO'!$L$6:$U$138,9,FALSE))</f>
        <v/>
      </c>
      <c r="C255" s="103" t="str">
        <f t="shared" si="15"/>
        <v/>
      </c>
      <c r="D255" s="59" t="str">
        <f t="shared" si="16"/>
        <v/>
      </c>
      <c r="E255" s="68"/>
      <c r="F255" s="106" t="str">
        <f t="shared" si="17"/>
        <v/>
      </c>
      <c r="G255" s="101"/>
      <c r="H255" s="101"/>
      <c r="I255" s="101"/>
      <c r="J255" s="68"/>
      <c r="L255" t="str">
        <f t="shared" si="18"/>
        <v/>
      </c>
      <c r="M255" t="str">
        <f t="shared" si="19"/>
        <v/>
      </c>
    </row>
    <row r="256" spans="1:13">
      <c r="A256" s="60" t="str">
        <f>IF(E256="","",VLOOKUP('OPĆI DIO'!$C$3,'OPĆI DIO'!$L$6:$U$138,10,FALSE))</f>
        <v/>
      </c>
      <c r="B256" s="60" t="str">
        <f>IF(E256="","",VLOOKUP('OPĆI DIO'!$C$3,'OPĆI DIO'!$L$6:$U$138,9,FALSE))</f>
        <v/>
      </c>
      <c r="C256" s="103" t="str">
        <f t="shared" si="15"/>
        <v/>
      </c>
      <c r="D256" s="59" t="str">
        <f t="shared" si="16"/>
        <v/>
      </c>
      <c r="E256" s="68"/>
      <c r="F256" s="106" t="str">
        <f t="shared" si="17"/>
        <v/>
      </c>
      <c r="G256" s="101"/>
      <c r="H256" s="101"/>
      <c r="I256" s="101"/>
      <c r="J256" s="68"/>
      <c r="L256" t="str">
        <f t="shared" si="18"/>
        <v/>
      </c>
      <c r="M256" t="str">
        <f t="shared" si="19"/>
        <v/>
      </c>
    </row>
    <row r="257" spans="1:13">
      <c r="A257" s="60" t="str">
        <f>IF(E257="","",VLOOKUP('OPĆI DIO'!$C$3,'OPĆI DIO'!$L$6:$U$138,10,FALSE))</f>
        <v/>
      </c>
      <c r="B257" s="60" t="str">
        <f>IF(E257="","",VLOOKUP('OPĆI DIO'!$C$3,'OPĆI DIO'!$L$6:$U$138,9,FALSE))</f>
        <v/>
      </c>
      <c r="C257" s="103" t="str">
        <f t="shared" si="15"/>
        <v/>
      </c>
      <c r="D257" s="59" t="str">
        <f t="shared" si="16"/>
        <v/>
      </c>
      <c r="E257" s="68"/>
      <c r="F257" s="106" t="str">
        <f t="shared" si="17"/>
        <v/>
      </c>
      <c r="G257" s="101"/>
      <c r="H257" s="101"/>
      <c r="I257" s="101"/>
      <c r="J257" s="68"/>
      <c r="L257" t="str">
        <f t="shared" si="18"/>
        <v/>
      </c>
      <c r="M257" t="str">
        <f t="shared" si="19"/>
        <v/>
      </c>
    </row>
    <row r="258" spans="1:13">
      <c r="A258" s="60" t="str">
        <f>IF(E258="","",VLOOKUP('OPĆI DIO'!$C$3,'OPĆI DIO'!$L$6:$U$138,10,FALSE))</f>
        <v/>
      </c>
      <c r="B258" s="60" t="str">
        <f>IF(E258="","",VLOOKUP('OPĆI DIO'!$C$3,'OPĆI DIO'!$L$6:$U$138,9,FALSE))</f>
        <v/>
      </c>
      <c r="C258" s="103" t="str">
        <f t="shared" si="15"/>
        <v/>
      </c>
      <c r="D258" s="59" t="str">
        <f t="shared" si="16"/>
        <v/>
      </c>
      <c r="E258" s="68"/>
      <c r="F258" s="106" t="str">
        <f t="shared" si="17"/>
        <v/>
      </c>
      <c r="G258" s="101"/>
      <c r="H258" s="101"/>
      <c r="I258" s="101"/>
      <c r="J258" s="68"/>
      <c r="L258" t="str">
        <f t="shared" si="18"/>
        <v/>
      </c>
      <c r="M258" t="str">
        <f t="shared" si="19"/>
        <v/>
      </c>
    </row>
    <row r="259" spans="1:13">
      <c r="A259" s="60" t="str">
        <f>IF(E259="","",VLOOKUP('OPĆI DIO'!$C$3,'OPĆI DIO'!$L$6:$U$138,10,FALSE))</f>
        <v/>
      </c>
      <c r="B259" s="60" t="str">
        <f>IF(E259="","",VLOOKUP('OPĆI DIO'!$C$3,'OPĆI DIO'!$L$6:$U$138,9,FALSE))</f>
        <v/>
      </c>
      <c r="C259" s="103" t="str">
        <f t="shared" ref="C259:C322" si="20">IFERROR(VLOOKUP(E259,$R$6:$U$113,3,FALSE),"")</f>
        <v/>
      </c>
      <c r="D259" s="59" t="str">
        <f t="shared" ref="D259:D322" si="21">IFERROR(VLOOKUP(E259,$R$6:$U$113,4,FALSE),"")</f>
        <v/>
      </c>
      <c r="E259" s="68"/>
      <c r="F259" s="106" t="str">
        <f t="shared" ref="F259:F322" si="22">IFERROR(VLOOKUP(E259,$R$6:$U$113,2,FALSE),"")</f>
        <v/>
      </c>
      <c r="G259" s="101"/>
      <c r="H259" s="101"/>
      <c r="I259" s="101"/>
      <c r="J259" s="68"/>
      <c r="L259" t="str">
        <f t="shared" si="18"/>
        <v/>
      </c>
      <c r="M259" t="str">
        <f t="shared" si="19"/>
        <v/>
      </c>
    </row>
    <row r="260" spans="1:13">
      <c r="A260" s="60" t="str">
        <f>IF(E260="","",VLOOKUP('OPĆI DIO'!$C$3,'OPĆI DIO'!$L$6:$U$138,10,FALSE))</f>
        <v/>
      </c>
      <c r="B260" s="60" t="str">
        <f>IF(E260="","",VLOOKUP('OPĆI DIO'!$C$3,'OPĆI DIO'!$L$6:$U$138,9,FALSE))</f>
        <v/>
      </c>
      <c r="C260" s="103" t="str">
        <f t="shared" si="20"/>
        <v/>
      </c>
      <c r="D260" s="59" t="str">
        <f t="shared" si="21"/>
        <v/>
      </c>
      <c r="E260" s="68"/>
      <c r="F260" s="106" t="str">
        <f t="shared" si="22"/>
        <v/>
      </c>
      <c r="G260" s="101"/>
      <c r="H260" s="101"/>
      <c r="I260" s="101"/>
      <c r="J260" s="68"/>
      <c r="L260" t="str">
        <f t="shared" ref="L260:L323" si="23">LEFT(E260,2)</f>
        <v/>
      </c>
      <c r="M260" t="str">
        <f t="shared" ref="M260:M323" si="24">LEFT(E260,3)</f>
        <v/>
      </c>
    </row>
    <row r="261" spans="1:13">
      <c r="A261" s="60" t="str">
        <f>IF(E261="","",VLOOKUP('OPĆI DIO'!$C$3,'OPĆI DIO'!$L$6:$U$138,10,FALSE))</f>
        <v/>
      </c>
      <c r="B261" s="60" t="str">
        <f>IF(E261="","",VLOOKUP('OPĆI DIO'!$C$3,'OPĆI DIO'!$L$6:$U$138,9,FALSE))</f>
        <v/>
      </c>
      <c r="C261" s="103" t="str">
        <f t="shared" si="20"/>
        <v/>
      </c>
      <c r="D261" s="59" t="str">
        <f t="shared" si="21"/>
        <v/>
      </c>
      <c r="E261" s="68"/>
      <c r="F261" s="106" t="str">
        <f t="shared" si="22"/>
        <v/>
      </c>
      <c r="G261" s="101"/>
      <c r="H261" s="101"/>
      <c r="I261" s="101"/>
      <c r="J261" s="68"/>
      <c r="L261" t="str">
        <f t="shared" si="23"/>
        <v/>
      </c>
      <c r="M261" t="str">
        <f t="shared" si="24"/>
        <v/>
      </c>
    </row>
    <row r="262" spans="1:13">
      <c r="A262" s="60" t="str">
        <f>IF(E262="","",VLOOKUP('OPĆI DIO'!$C$3,'OPĆI DIO'!$L$6:$U$138,10,FALSE))</f>
        <v/>
      </c>
      <c r="B262" s="60" t="str">
        <f>IF(E262="","",VLOOKUP('OPĆI DIO'!$C$3,'OPĆI DIO'!$L$6:$U$138,9,FALSE))</f>
        <v/>
      </c>
      <c r="C262" s="103" t="str">
        <f t="shared" si="20"/>
        <v/>
      </c>
      <c r="D262" s="59" t="str">
        <f t="shared" si="21"/>
        <v/>
      </c>
      <c r="E262" s="68"/>
      <c r="F262" s="106" t="str">
        <f t="shared" si="22"/>
        <v/>
      </c>
      <c r="G262" s="101"/>
      <c r="H262" s="101"/>
      <c r="I262" s="101"/>
      <c r="J262" s="68"/>
      <c r="L262" t="str">
        <f t="shared" si="23"/>
        <v/>
      </c>
      <c r="M262" t="str">
        <f t="shared" si="24"/>
        <v/>
      </c>
    </row>
    <row r="263" spans="1:13">
      <c r="A263" s="60" t="str">
        <f>IF(E263="","",VLOOKUP('OPĆI DIO'!$C$3,'OPĆI DIO'!$L$6:$U$138,10,FALSE))</f>
        <v/>
      </c>
      <c r="B263" s="60" t="str">
        <f>IF(E263="","",VLOOKUP('OPĆI DIO'!$C$3,'OPĆI DIO'!$L$6:$U$138,9,FALSE))</f>
        <v/>
      </c>
      <c r="C263" s="103" t="str">
        <f t="shared" si="20"/>
        <v/>
      </c>
      <c r="D263" s="59" t="str">
        <f t="shared" si="21"/>
        <v/>
      </c>
      <c r="E263" s="68"/>
      <c r="F263" s="106" t="str">
        <f t="shared" si="22"/>
        <v/>
      </c>
      <c r="G263" s="101"/>
      <c r="H263" s="101"/>
      <c r="I263" s="101"/>
      <c r="J263" s="68"/>
      <c r="L263" t="str">
        <f t="shared" si="23"/>
        <v/>
      </c>
      <c r="M263" t="str">
        <f t="shared" si="24"/>
        <v/>
      </c>
    </row>
    <row r="264" spans="1:13">
      <c r="A264" s="60" t="str">
        <f>IF(E264="","",VLOOKUP('OPĆI DIO'!$C$3,'OPĆI DIO'!$L$6:$U$138,10,FALSE))</f>
        <v/>
      </c>
      <c r="B264" s="60" t="str">
        <f>IF(E264="","",VLOOKUP('OPĆI DIO'!$C$3,'OPĆI DIO'!$L$6:$U$138,9,FALSE))</f>
        <v/>
      </c>
      <c r="C264" s="103" t="str">
        <f t="shared" si="20"/>
        <v/>
      </c>
      <c r="D264" s="59" t="str">
        <f t="shared" si="21"/>
        <v/>
      </c>
      <c r="E264" s="68"/>
      <c r="F264" s="106" t="str">
        <f t="shared" si="22"/>
        <v/>
      </c>
      <c r="G264" s="101"/>
      <c r="H264" s="101"/>
      <c r="I264" s="101"/>
      <c r="J264" s="68"/>
      <c r="L264" t="str">
        <f t="shared" si="23"/>
        <v/>
      </c>
      <c r="M264" t="str">
        <f t="shared" si="24"/>
        <v/>
      </c>
    </row>
    <row r="265" spans="1:13">
      <c r="A265" s="60" t="str">
        <f>IF(E265="","",VLOOKUP('OPĆI DIO'!$C$3,'OPĆI DIO'!$L$6:$U$138,10,FALSE))</f>
        <v/>
      </c>
      <c r="B265" s="60" t="str">
        <f>IF(E265="","",VLOOKUP('OPĆI DIO'!$C$3,'OPĆI DIO'!$L$6:$U$138,9,FALSE))</f>
        <v/>
      </c>
      <c r="C265" s="103" t="str">
        <f t="shared" si="20"/>
        <v/>
      </c>
      <c r="D265" s="59" t="str">
        <f t="shared" si="21"/>
        <v/>
      </c>
      <c r="E265" s="68"/>
      <c r="F265" s="106" t="str">
        <f t="shared" si="22"/>
        <v/>
      </c>
      <c r="G265" s="101"/>
      <c r="H265" s="101"/>
      <c r="I265" s="101"/>
      <c r="J265" s="68"/>
      <c r="L265" t="str">
        <f t="shared" si="23"/>
        <v/>
      </c>
      <c r="M265" t="str">
        <f t="shared" si="24"/>
        <v/>
      </c>
    </row>
    <row r="266" spans="1:13">
      <c r="A266" s="60" t="str">
        <f>IF(E266="","",VLOOKUP('OPĆI DIO'!$C$3,'OPĆI DIO'!$L$6:$U$138,10,FALSE))</f>
        <v/>
      </c>
      <c r="B266" s="60" t="str">
        <f>IF(E266="","",VLOOKUP('OPĆI DIO'!$C$3,'OPĆI DIO'!$L$6:$U$138,9,FALSE))</f>
        <v/>
      </c>
      <c r="C266" s="103" t="str">
        <f t="shared" si="20"/>
        <v/>
      </c>
      <c r="D266" s="59" t="str">
        <f t="shared" si="21"/>
        <v/>
      </c>
      <c r="E266" s="68"/>
      <c r="F266" s="106" t="str">
        <f t="shared" si="22"/>
        <v/>
      </c>
      <c r="G266" s="101"/>
      <c r="H266" s="101"/>
      <c r="I266" s="101"/>
      <c r="J266" s="68"/>
      <c r="L266" t="str">
        <f t="shared" si="23"/>
        <v/>
      </c>
      <c r="M266" t="str">
        <f t="shared" si="24"/>
        <v/>
      </c>
    </row>
    <row r="267" spans="1:13">
      <c r="A267" s="60" t="str">
        <f>IF(E267="","",VLOOKUP('OPĆI DIO'!$C$3,'OPĆI DIO'!$L$6:$U$138,10,FALSE))</f>
        <v/>
      </c>
      <c r="B267" s="60" t="str">
        <f>IF(E267="","",VLOOKUP('OPĆI DIO'!$C$3,'OPĆI DIO'!$L$6:$U$138,9,FALSE))</f>
        <v/>
      </c>
      <c r="C267" s="103" t="str">
        <f t="shared" si="20"/>
        <v/>
      </c>
      <c r="D267" s="59" t="str">
        <f t="shared" si="21"/>
        <v/>
      </c>
      <c r="E267" s="68"/>
      <c r="F267" s="106" t="str">
        <f t="shared" si="22"/>
        <v/>
      </c>
      <c r="G267" s="101"/>
      <c r="H267" s="101"/>
      <c r="I267" s="101"/>
      <c r="J267" s="68"/>
      <c r="L267" t="str">
        <f t="shared" si="23"/>
        <v/>
      </c>
      <c r="M267" t="str">
        <f t="shared" si="24"/>
        <v/>
      </c>
    </row>
    <row r="268" spans="1:13">
      <c r="A268" s="60" t="str">
        <f>IF(E268="","",VLOOKUP('OPĆI DIO'!$C$3,'OPĆI DIO'!$L$6:$U$138,10,FALSE))</f>
        <v/>
      </c>
      <c r="B268" s="60" t="str">
        <f>IF(E268="","",VLOOKUP('OPĆI DIO'!$C$3,'OPĆI DIO'!$L$6:$U$138,9,FALSE))</f>
        <v/>
      </c>
      <c r="C268" s="103" t="str">
        <f t="shared" si="20"/>
        <v/>
      </c>
      <c r="D268" s="59" t="str">
        <f t="shared" si="21"/>
        <v/>
      </c>
      <c r="E268" s="68"/>
      <c r="F268" s="106" t="str">
        <f t="shared" si="22"/>
        <v/>
      </c>
      <c r="G268" s="101"/>
      <c r="H268" s="101"/>
      <c r="I268" s="101"/>
      <c r="J268" s="68"/>
      <c r="L268" t="str">
        <f t="shared" si="23"/>
        <v/>
      </c>
      <c r="M268" t="str">
        <f t="shared" si="24"/>
        <v/>
      </c>
    </row>
    <row r="269" spans="1:13">
      <c r="A269" s="60" t="str">
        <f>IF(E269="","",VLOOKUP('OPĆI DIO'!$C$3,'OPĆI DIO'!$L$6:$U$138,10,FALSE))</f>
        <v/>
      </c>
      <c r="B269" s="60" t="str">
        <f>IF(E269="","",VLOOKUP('OPĆI DIO'!$C$3,'OPĆI DIO'!$L$6:$U$138,9,FALSE))</f>
        <v/>
      </c>
      <c r="C269" s="103" t="str">
        <f t="shared" si="20"/>
        <v/>
      </c>
      <c r="D269" s="59" t="str">
        <f t="shared" si="21"/>
        <v/>
      </c>
      <c r="E269" s="68"/>
      <c r="F269" s="106" t="str">
        <f t="shared" si="22"/>
        <v/>
      </c>
      <c r="G269" s="101"/>
      <c r="H269" s="101"/>
      <c r="I269" s="101"/>
      <c r="J269" s="68"/>
      <c r="L269" t="str">
        <f t="shared" si="23"/>
        <v/>
      </c>
      <c r="M269" t="str">
        <f t="shared" si="24"/>
        <v/>
      </c>
    </row>
    <row r="270" spans="1:13">
      <c r="A270" s="60" t="str">
        <f>IF(E270="","",VLOOKUP('OPĆI DIO'!$C$3,'OPĆI DIO'!$L$6:$U$138,10,FALSE))</f>
        <v/>
      </c>
      <c r="B270" s="60" t="str">
        <f>IF(E270="","",VLOOKUP('OPĆI DIO'!$C$3,'OPĆI DIO'!$L$6:$U$138,9,FALSE))</f>
        <v/>
      </c>
      <c r="C270" s="103" t="str">
        <f t="shared" si="20"/>
        <v/>
      </c>
      <c r="D270" s="59" t="str">
        <f t="shared" si="21"/>
        <v/>
      </c>
      <c r="E270" s="68"/>
      <c r="F270" s="106" t="str">
        <f t="shared" si="22"/>
        <v/>
      </c>
      <c r="G270" s="101"/>
      <c r="H270" s="101"/>
      <c r="I270" s="101"/>
      <c r="J270" s="68"/>
      <c r="L270" t="str">
        <f t="shared" si="23"/>
        <v/>
      </c>
      <c r="M270" t="str">
        <f t="shared" si="24"/>
        <v/>
      </c>
    </row>
    <row r="271" spans="1:13">
      <c r="A271" s="60" t="str">
        <f>IF(E271="","",VLOOKUP('OPĆI DIO'!$C$3,'OPĆI DIO'!$L$6:$U$138,10,FALSE))</f>
        <v/>
      </c>
      <c r="B271" s="60" t="str">
        <f>IF(E271="","",VLOOKUP('OPĆI DIO'!$C$3,'OPĆI DIO'!$L$6:$U$138,9,FALSE))</f>
        <v/>
      </c>
      <c r="C271" s="103" t="str">
        <f t="shared" si="20"/>
        <v/>
      </c>
      <c r="D271" s="59" t="str">
        <f t="shared" si="21"/>
        <v/>
      </c>
      <c r="E271" s="68"/>
      <c r="F271" s="106" t="str">
        <f t="shared" si="22"/>
        <v/>
      </c>
      <c r="G271" s="101"/>
      <c r="H271" s="101"/>
      <c r="I271" s="101"/>
      <c r="J271" s="68"/>
      <c r="L271" t="str">
        <f t="shared" si="23"/>
        <v/>
      </c>
      <c r="M271" t="str">
        <f t="shared" si="24"/>
        <v/>
      </c>
    </row>
    <row r="272" spans="1:13">
      <c r="A272" s="60" t="str">
        <f>IF(E272="","",VLOOKUP('OPĆI DIO'!$C$3,'OPĆI DIO'!$L$6:$U$138,10,FALSE))</f>
        <v/>
      </c>
      <c r="B272" s="60" t="str">
        <f>IF(E272="","",VLOOKUP('OPĆI DIO'!$C$3,'OPĆI DIO'!$L$6:$U$138,9,FALSE))</f>
        <v/>
      </c>
      <c r="C272" s="103" t="str">
        <f t="shared" si="20"/>
        <v/>
      </c>
      <c r="D272" s="59" t="str">
        <f t="shared" si="21"/>
        <v/>
      </c>
      <c r="E272" s="68"/>
      <c r="F272" s="106" t="str">
        <f t="shared" si="22"/>
        <v/>
      </c>
      <c r="G272" s="101"/>
      <c r="H272" s="101"/>
      <c r="I272" s="101"/>
      <c r="J272" s="68"/>
      <c r="L272" t="str">
        <f t="shared" si="23"/>
        <v/>
      </c>
      <c r="M272" t="str">
        <f t="shared" si="24"/>
        <v/>
      </c>
    </row>
    <row r="273" spans="1:13">
      <c r="A273" s="60" t="str">
        <f>IF(E273="","",VLOOKUP('OPĆI DIO'!$C$3,'OPĆI DIO'!$L$6:$U$138,10,FALSE))</f>
        <v/>
      </c>
      <c r="B273" s="60" t="str">
        <f>IF(E273="","",VLOOKUP('OPĆI DIO'!$C$3,'OPĆI DIO'!$L$6:$U$138,9,FALSE))</f>
        <v/>
      </c>
      <c r="C273" s="103" t="str">
        <f t="shared" si="20"/>
        <v/>
      </c>
      <c r="D273" s="59" t="str">
        <f t="shared" si="21"/>
        <v/>
      </c>
      <c r="E273" s="68"/>
      <c r="F273" s="106" t="str">
        <f t="shared" si="22"/>
        <v/>
      </c>
      <c r="G273" s="101"/>
      <c r="H273" s="101"/>
      <c r="I273" s="101"/>
      <c r="J273" s="68"/>
      <c r="L273" t="str">
        <f t="shared" si="23"/>
        <v/>
      </c>
      <c r="M273" t="str">
        <f t="shared" si="24"/>
        <v/>
      </c>
    </row>
    <row r="274" spans="1:13">
      <c r="A274" s="60" t="str">
        <f>IF(E274="","",VLOOKUP('OPĆI DIO'!$C$3,'OPĆI DIO'!$L$6:$U$138,10,FALSE))</f>
        <v/>
      </c>
      <c r="B274" s="60" t="str">
        <f>IF(E274="","",VLOOKUP('OPĆI DIO'!$C$3,'OPĆI DIO'!$L$6:$U$138,9,FALSE))</f>
        <v/>
      </c>
      <c r="C274" s="103" t="str">
        <f t="shared" si="20"/>
        <v/>
      </c>
      <c r="D274" s="59" t="str">
        <f t="shared" si="21"/>
        <v/>
      </c>
      <c r="E274" s="68"/>
      <c r="F274" s="106" t="str">
        <f t="shared" si="22"/>
        <v/>
      </c>
      <c r="G274" s="101"/>
      <c r="H274" s="101"/>
      <c r="I274" s="101"/>
      <c r="J274" s="68"/>
      <c r="L274" t="str">
        <f t="shared" si="23"/>
        <v/>
      </c>
      <c r="M274" t="str">
        <f t="shared" si="24"/>
        <v/>
      </c>
    </row>
    <row r="275" spans="1:13">
      <c r="A275" s="60" t="str">
        <f>IF(E275="","",VLOOKUP('OPĆI DIO'!$C$3,'OPĆI DIO'!$L$6:$U$138,10,FALSE))</f>
        <v/>
      </c>
      <c r="B275" s="60" t="str">
        <f>IF(E275="","",VLOOKUP('OPĆI DIO'!$C$3,'OPĆI DIO'!$L$6:$U$138,9,FALSE))</f>
        <v/>
      </c>
      <c r="C275" s="103" t="str">
        <f t="shared" si="20"/>
        <v/>
      </c>
      <c r="D275" s="59" t="str">
        <f t="shared" si="21"/>
        <v/>
      </c>
      <c r="E275" s="68"/>
      <c r="F275" s="106" t="str">
        <f t="shared" si="22"/>
        <v/>
      </c>
      <c r="G275" s="101"/>
      <c r="H275" s="101"/>
      <c r="I275" s="101"/>
      <c r="J275" s="68"/>
      <c r="L275" t="str">
        <f t="shared" si="23"/>
        <v/>
      </c>
      <c r="M275" t="str">
        <f t="shared" si="24"/>
        <v/>
      </c>
    </row>
    <row r="276" spans="1:13">
      <c r="A276" s="60" t="str">
        <f>IF(E276="","",VLOOKUP('OPĆI DIO'!$C$3,'OPĆI DIO'!$L$6:$U$138,10,FALSE))</f>
        <v/>
      </c>
      <c r="B276" s="60" t="str">
        <f>IF(E276="","",VLOOKUP('OPĆI DIO'!$C$3,'OPĆI DIO'!$L$6:$U$138,9,FALSE))</f>
        <v/>
      </c>
      <c r="C276" s="103" t="str">
        <f t="shared" si="20"/>
        <v/>
      </c>
      <c r="D276" s="59" t="str">
        <f t="shared" si="21"/>
        <v/>
      </c>
      <c r="E276" s="68"/>
      <c r="F276" s="106" t="str">
        <f t="shared" si="22"/>
        <v/>
      </c>
      <c r="G276" s="101"/>
      <c r="H276" s="101"/>
      <c r="I276" s="101"/>
      <c r="J276" s="68"/>
      <c r="L276" t="str">
        <f t="shared" si="23"/>
        <v/>
      </c>
      <c r="M276" t="str">
        <f t="shared" si="24"/>
        <v/>
      </c>
    </row>
    <row r="277" spans="1:13">
      <c r="A277" s="60" t="str">
        <f>IF(E277="","",VLOOKUP('OPĆI DIO'!$C$3,'OPĆI DIO'!$L$6:$U$138,10,FALSE))</f>
        <v/>
      </c>
      <c r="B277" s="60" t="str">
        <f>IF(E277="","",VLOOKUP('OPĆI DIO'!$C$3,'OPĆI DIO'!$L$6:$U$138,9,FALSE))</f>
        <v/>
      </c>
      <c r="C277" s="103" t="str">
        <f t="shared" si="20"/>
        <v/>
      </c>
      <c r="D277" s="59" t="str">
        <f t="shared" si="21"/>
        <v/>
      </c>
      <c r="E277" s="68"/>
      <c r="F277" s="106" t="str">
        <f t="shared" si="22"/>
        <v/>
      </c>
      <c r="G277" s="101"/>
      <c r="H277" s="101"/>
      <c r="I277" s="101"/>
      <c r="J277" s="68"/>
      <c r="L277" t="str">
        <f t="shared" si="23"/>
        <v/>
      </c>
      <c r="M277" t="str">
        <f t="shared" si="24"/>
        <v/>
      </c>
    </row>
    <row r="278" spans="1:13">
      <c r="A278" s="60" t="str">
        <f>IF(E278="","",VLOOKUP('OPĆI DIO'!$C$3,'OPĆI DIO'!$L$6:$U$138,10,FALSE))</f>
        <v/>
      </c>
      <c r="B278" s="60" t="str">
        <f>IF(E278="","",VLOOKUP('OPĆI DIO'!$C$3,'OPĆI DIO'!$L$6:$U$138,9,FALSE))</f>
        <v/>
      </c>
      <c r="C278" s="103" t="str">
        <f t="shared" si="20"/>
        <v/>
      </c>
      <c r="D278" s="59" t="str">
        <f t="shared" si="21"/>
        <v/>
      </c>
      <c r="E278" s="68"/>
      <c r="F278" s="106" t="str">
        <f t="shared" si="22"/>
        <v/>
      </c>
      <c r="G278" s="101"/>
      <c r="H278" s="101"/>
      <c r="I278" s="101"/>
      <c r="J278" s="68"/>
      <c r="L278" t="str">
        <f t="shared" si="23"/>
        <v/>
      </c>
      <c r="M278" t="str">
        <f t="shared" si="24"/>
        <v/>
      </c>
    </row>
    <row r="279" spans="1:13">
      <c r="A279" s="60" t="str">
        <f>IF(E279="","",VLOOKUP('OPĆI DIO'!$C$3,'OPĆI DIO'!$L$6:$U$138,10,FALSE))</f>
        <v/>
      </c>
      <c r="B279" s="60" t="str">
        <f>IF(E279="","",VLOOKUP('OPĆI DIO'!$C$3,'OPĆI DIO'!$L$6:$U$138,9,FALSE))</f>
        <v/>
      </c>
      <c r="C279" s="103" t="str">
        <f t="shared" si="20"/>
        <v/>
      </c>
      <c r="D279" s="59" t="str">
        <f t="shared" si="21"/>
        <v/>
      </c>
      <c r="E279" s="68"/>
      <c r="F279" s="106" t="str">
        <f t="shared" si="22"/>
        <v/>
      </c>
      <c r="G279" s="101"/>
      <c r="H279" s="101"/>
      <c r="I279" s="101"/>
      <c r="J279" s="68"/>
      <c r="L279" t="str">
        <f t="shared" si="23"/>
        <v/>
      </c>
      <c r="M279" t="str">
        <f t="shared" si="24"/>
        <v/>
      </c>
    </row>
    <row r="280" spans="1:13">
      <c r="A280" s="60" t="str">
        <f>IF(E280="","",VLOOKUP('OPĆI DIO'!$C$3,'OPĆI DIO'!$L$6:$U$138,10,FALSE))</f>
        <v/>
      </c>
      <c r="B280" s="60" t="str">
        <f>IF(E280="","",VLOOKUP('OPĆI DIO'!$C$3,'OPĆI DIO'!$L$6:$U$138,9,FALSE))</f>
        <v/>
      </c>
      <c r="C280" s="103" t="str">
        <f t="shared" si="20"/>
        <v/>
      </c>
      <c r="D280" s="59" t="str">
        <f t="shared" si="21"/>
        <v/>
      </c>
      <c r="E280" s="68"/>
      <c r="F280" s="106" t="str">
        <f t="shared" si="22"/>
        <v/>
      </c>
      <c r="G280" s="101"/>
      <c r="H280" s="101"/>
      <c r="I280" s="101"/>
      <c r="J280" s="68"/>
      <c r="L280" t="str">
        <f t="shared" si="23"/>
        <v/>
      </c>
      <c r="M280" t="str">
        <f t="shared" si="24"/>
        <v/>
      </c>
    </row>
    <row r="281" spans="1:13">
      <c r="A281" s="60" t="str">
        <f>IF(E281="","",VLOOKUP('OPĆI DIO'!$C$3,'OPĆI DIO'!$L$6:$U$138,10,FALSE))</f>
        <v/>
      </c>
      <c r="B281" s="60" t="str">
        <f>IF(E281="","",VLOOKUP('OPĆI DIO'!$C$3,'OPĆI DIO'!$L$6:$U$138,9,FALSE))</f>
        <v/>
      </c>
      <c r="C281" s="103" t="str">
        <f t="shared" si="20"/>
        <v/>
      </c>
      <c r="D281" s="59" t="str">
        <f t="shared" si="21"/>
        <v/>
      </c>
      <c r="E281" s="68"/>
      <c r="F281" s="106" t="str">
        <f t="shared" si="22"/>
        <v/>
      </c>
      <c r="G281" s="101"/>
      <c r="H281" s="101"/>
      <c r="I281" s="101"/>
      <c r="J281" s="68"/>
      <c r="L281" t="str">
        <f t="shared" si="23"/>
        <v/>
      </c>
      <c r="M281" t="str">
        <f t="shared" si="24"/>
        <v/>
      </c>
    </row>
    <row r="282" spans="1:13">
      <c r="A282" s="60" t="str">
        <f>IF(E282="","",VLOOKUP('OPĆI DIO'!$C$3,'OPĆI DIO'!$L$6:$U$138,10,FALSE))</f>
        <v/>
      </c>
      <c r="B282" s="60" t="str">
        <f>IF(E282="","",VLOOKUP('OPĆI DIO'!$C$3,'OPĆI DIO'!$L$6:$U$138,9,FALSE))</f>
        <v/>
      </c>
      <c r="C282" s="103" t="str">
        <f t="shared" si="20"/>
        <v/>
      </c>
      <c r="D282" s="59" t="str">
        <f t="shared" si="21"/>
        <v/>
      </c>
      <c r="E282" s="68"/>
      <c r="F282" s="106" t="str">
        <f t="shared" si="22"/>
        <v/>
      </c>
      <c r="G282" s="101"/>
      <c r="H282" s="101"/>
      <c r="I282" s="101"/>
      <c r="J282" s="68"/>
      <c r="L282" t="str">
        <f t="shared" si="23"/>
        <v/>
      </c>
      <c r="M282" t="str">
        <f t="shared" si="24"/>
        <v/>
      </c>
    </row>
    <row r="283" spans="1:13">
      <c r="A283" s="60" t="str">
        <f>IF(E283="","",VLOOKUP('OPĆI DIO'!$C$3,'OPĆI DIO'!$L$6:$U$138,10,FALSE))</f>
        <v/>
      </c>
      <c r="B283" s="60" t="str">
        <f>IF(E283="","",VLOOKUP('OPĆI DIO'!$C$3,'OPĆI DIO'!$L$6:$U$138,9,FALSE))</f>
        <v/>
      </c>
      <c r="C283" s="103" t="str">
        <f t="shared" si="20"/>
        <v/>
      </c>
      <c r="D283" s="59" t="str">
        <f t="shared" si="21"/>
        <v/>
      </c>
      <c r="E283" s="68"/>
      <c r="F283" s="106" t="str">
        <f t="shared" si="22"/>
        <v/>
      </c>
      <c r="G283" s="101"/>
      <c r="H283" s="101"/>
      <c r="I283" s="101"/>
      <c r="J283" s="68"/>
      <c r="L283" t="str">
        <f t="shared" si="23"/>
        <v/>
      </c>
      <c r="M283" t="str">
        <f t="shared" si="24"/>
        <v/>
      </c>
    </row>
    <row r="284" spans="1:13">
      <c r="A284" s="60" t="str">
        <f>IF(E284="","",VLOOKUP('OPĆI DIO'!$C$3,'OPĆI DIO'!$L$6:$U$138,10,FALSE))</f>
        <v/>
      </c>
      <c r="B284" s="60" t="str">
        <f>IF(E284="","",VLOOKUP('OPĆI DIO'!$C$3,'OPĆI DIO'!$L$6:$U$138,9,FALSE))</f>
        <v/>
      </c>
      <c r="C284" s="103" t="str">
        <f t="shared" si="20"/>
        <v/>
      </c>
      <c r="D284" s="59" t="str">
        <f t="shared" si="21"/>
        <v/>
      </c>
      <c r="E284" s="68"/>
      <c r="F284" s="106" t="str">
        <f t="shared" si="22"/>
        <v/>
      </c>
      <c r="G284" s="101"/>
      <c r="H284" s="101"/>
      <c r="I284" s="101"/>
      <c r="J284" s="68"/>
      <c r="L284" t="str">
        <f t="shared" si="23"/>
        <v/>
      </c>
      <c r="M284" t="str">
        <f t="shared" si="24"/>
        <v/>
      </c>
    </row>
    <row r="285" spans="1:13">
      <c r="A285" s="60" t="str">
        <f>IF(E285="","",VLOOKUP('OPĆI DIO'!$C$3,'OPĆI DIO'!$L$6:$U$138,10,FALSE))</f>
        <v/>
      </c>
      <c r="B285" s="60" t="str">
        <f>IF(E285="","",VLOOKUP('OPĆI DIO'!$C$3,'OPĆI DIO'!$L$6:$U$138,9,FALSE))</f>
        <v/>
      </c>
      <c r="C285" s="103" t="str">
        <f t="shared" si="20"/>
        <v/>
      </c>
      <c r="D285" s="59" t="str">
        <f t="shared" si="21"/>
        <v/>
      </c>
      <c r="E285" s="68"/>
      <c r="F285" s="106" t="str">
        <f t="shared" si="22"/>
        <v/>
      </c>
      <c r="G285" s="101"/>
      <c r="H285" s="101"/>
      <c r="I285" s="101"/>
      <c r="J285" s="68"/>
      <c r="L285" t="str">
        <f t="shared" si="23"/>
        <v/>
      </c>
      <c r="M285" t="str">
        <f t="shared" si="24"/>
        <v/>
      </c>
    </row>
    <row r="286" spans="1:13">
      <c r="A286" s="60" t="str">
        <f>IF(E286="","",VLOOKUP('OPĆI DIO'!$C$3,'OPĆI DIO'!$L$6:$U$138,10,FALSE))</f>
        <v/>
      </c>
      <c r="B286" s="60" t="str">
        <f>IF(E286="","",VLOOKUP('OPĆI DIO'!$C$3,'OPĆI DIO'!$L$6:$U$138,9,FALSE))</f>
        <v/>
      </c>
      <c r="C286" s="103" t="str">
        <f t="shared" si="20"/>
        <v/>
      </c>
      <c r="D286" s="59" t="str">
        <f t="shared" si="21"/>
        <v/>
      </c>
      <c r="E286" s="68"/>
      <c r="F286" s="106" t="str">
        <f t="shared" si="22"/>
        <v/>
      </c>
      <c r="G286" s="101"/>
      <c r="H286" s="101"/>
      <c r="I286" s="101"/>
      <c r="J286" s="68"/>
      <c r="L286" t="str">
        <f t="shared" si="23"/>
        <v/>
      </c>
      <c r="M286" t="str">
        <f t="shared" si="24"/>
        <v/>
      </c>
    </row>
    <row r="287" spans="1:13">
      <c r="A287" s="60" t="str">
        <f>IF(E287="","",VLOOKUP('OPĆI DIO'!$C$3,'OPĆI DIO'!$L$6:$U$138,10,FALSE))</f>
        <v/>
      </c>
      <c r="B287" s="60" t="str">
        <f>IF(E287="","",VLOOKUP('OPĆI DIO'!$C$3,'OPĆI DIO'!$L$6:$U$138,9,FALSE))</f>
        <v/>
      </c>
      <c r="C287" s="103" t="str">
        <f t="shared" si="20"/>
        <v/>
      </c>
      <c r="D287" s="59" t="str">
        <f t="shared" si="21"/>
        <v/>
      </c>
      <c r="E287" s="68"/>
      <c r="F287" s="106" t="str">
        <f t="shared" si="22"/>
        <v/>
      </c>
      <c r="G287" s="101"/>
      <c r="H287" s="101"/>
      <c r="I287" s="101"/>
      <c r="J287" s="68"/>
      <c r="L287" t="str">
        <f t="shared" si="23"/>
        <v/>
      </c>
      <c r="M287" t="str">
        <f t="shared" si="24"/>
        <v/>
      </c>
    </row>
    <row r="288" spans="1:13">
      <c r="A288" s="60" t="str">
        <f>IF(E288="","",VLOOKUP('OPĆI DIO'!$C$3,'OPĆI DIO'!$L$6:$U$138,10,FALSE))</f>
        <v/>
      </c>
      <c r="B288" s="60" t="str">
        <f>IF(E288="","",VLOOKUP('OPĆI DIO'!$C$3,'OPĆI DIO'!$L$6:$U$138,9,FALSE))</f>
        <v/>
      </c>
      <c r="C288" s="103" t="str">
        <f t="shared" si="20"/>
        <v/>
      </c>
      <c r="D288" s="59" t="str">
        <f t="shared" si="21"/>
        <v/>
      </c>
      <c r="E288" s="68"/>
      <c r="F288" s="106" t="str">
        <f t="shared" si="22"/>
        <v/>
      </c>
      <c r="G288" s="101"/>
      <c r="H288" s="101"/>
      <c r="I288" s="101"/>
      <c r="J288" s="68"/>
      <c r="L288" t="str">
        <f t="shared" si="23"/>
        <v/>
      </c>
      <c r="M288" t="str">
        <f t="shared" si="24"/>
        <v/>
      </c>
    </row>
    <row r="289" spans="1:13">
      <c r="A289" s="60" t="str">
        <f>IF(E289="","",VLOOKUP('OPĆI DIO'!$C$3,'OPĆI DIO'!$L$6:$U$138,10,FALSE))</f>
        <v/>
      </c>
      <c r="B289" s="60" t="str">
        <f>IF(E289="","",VLOOKUP('OPĆI DIO'!$C$3,'OPĆI DIO'!$L$6:$U$138,9,FALSE))</f>
        <v/>
      </c>
      <c r="C289" s="103" t="str">
        <f t="shared" si="20"/>
        <v/>
      </c>
      <c r="D289" s="59" t="str">
        <f t="shared" si="21"/>
        <v/>
      </c>
      <c r="E289" s="68"/>
      <c r="F289" s="106" t="str">
        <f t="shared" si="22"/>
        <v/>
      </c>
      <c r="G289" s="101"/>
      <c r="H289" s="101"/>
      <c r="I289" s="101"/>
      <c r="J289" s="68"/>
      <c r="L289" t="str">
        <f t="shared" si="23"/>
        <v/>
      </c>
      <c r="M289" t="str">
        <f t="shared" si="24"/>
        <v/>
      </c>
    </row>
    <row r="290" spans="1:13">
      <c r="A290" s="60" t="str">
        <f>IF(E290="","",VLOOKUP('OPĆI DIO'!$C$3,'OPĆI DIO'!$L$6:$U$138,10,FALSE))</f>
        <v/>
      </c>
      <c r="B290" s="60" t="str">
        <f>IF(E290="","",VLOOKUP('OPĆI DIO'!$C$3,'OPĆI DIO'!$L$6:$U$138,9,FALSE))</f>
        <v/>
      </c>
      <c r="C290" s="103" t="str">
        <f t="shared" si="20"/>
        <v/>
      </c>
      <c r="D290" s="59" t="str">
        <f t="shared" si="21"/>
        <v/>
      </c>
      <c r="E290" s="68"/>
      <c r="F290" s="106" t="str">
        <f t="shared" si="22"/>
        <v/>
      </c>
      <c r="G290" s="101"/>
      <c r="H290" s="101"/>
      <c r="I290" s="101"/>
      <c r="J290" s="68"/>
      <c r="L290" t="str">
        <f t="shared" si="23"/>
        <v/>
      </c>
      <c r="M290" t="str">
        <f t="shared" si="24"/>
        <v/>
      </c>
    </row>
    <row r="291" spans="1:13">
      <c r="A291" s="60" t="str">
        <f>IF(E291="","",VLOOKUP('OPĆI DIO'!$C$3,'OPĆI DIO'!$L$6:$U$138,10,FALSE))</f>
        <v/>
      </c>
      <c r="B291" s="60" t="str">
        <f>IF(E291="","",VLOOKUP('OPĆI DIO'!$C$3,'OPĆI DIO'!$L$6:$U$138,9,FALSE))</f>
        <v/>
      </c>
      <c r="C291" s="103" t="str">
        <f t="shared" si="20"/>
        <v/>
      </c>
      <c r="D291" s="59" t="str">
        <f t="shared" si="21"/>
        <v/>
      </c>
      <c r="E291" s="68"/>
      <c r="F291" s="106" t="str">
        <f t="shared" si="22"/>
        <v/>
      </c>
      <c r="G291" s="101"/>
      <c r="H291" s="101"/>
      <c r="I291" s="101"/>
      <c r="J291" s="68"/>
      <c r="L291" t="str">
        <f t="shared" si="23"/>
        <v/>
      </c>
      <c r="M291" t="str">
        <f t="shared" si="24"/>
        <v/>
      </c>
    </row>
    <row r="292" spans="1:13">
      <c r="A292" s="60" t="str">
        <f>IF(E292="","",VLOOKUP('OPĆI DIO'!$C$3,'OPĆI DIO'!$L$6:$U$138,10,FALSE))</f>
        <v/>
      </c>
      <c r="B292" s="60" t="str">
        <f>IF(E292="","",VLOOKUP('OPĆI DIO'!$C$3,'OPĆI DIO'!$L$6:$U$138,9,FALSE))</f>
        <v/>
      </c>
      <c r="C292" s="103" t="str">
        <f t="shared" si="20"/>
        <v/>
      </c>
      <c r="D292" s="59" t="str">
        <f t="shared" si="21"/>
        <v/>
      </c>
      <c r="E292" s="68"/>
      <c r="F292" s="106" t="str">
        <f t="shared" si="22"/>
        <v/>
      </c>
      <c r="G292" s="101"/>
      <c r="H292" s="101"/>
      <c r="I292" s="101"/>
      <c r="J292" s="68"/>
      <c r="L292" t="str">
        <f t="shared" si="23"/>
        <v/>
      </c>
      <c r="M292" t="str">
        <f t="shared" si="24"/>
        <v/>
      </c>
    </row>
    <row r="293" spans="1:13">
      <c r="A293" s="60" t="str">
        <f>IF(E293="","",VLOOKUP('OPĆI DIO'!$C$3,'OPĆI DIO'!$L$6:$U$138,10,FALSE))</f>
        <v/>
      </c>
      <c r="B293" s="60" t="str">
        <f>IF(E293="","",VLOOKUP('OPĆI DIO'!$C$3,'OPĆI DIO'!$L$6:$U$138,9,FALSE))</f>
        <v/>
      </c>
      <c r="C293" s="103" t="str">
        <f t="shared" si="20"/>
        <v/>
      </c>
      <c r="D293" s="59" t="str">
        <f t="shared" si="21"/>
        <v/>
      </c>
      <c r="E293" s="68"/>
      <c r="F293" s="106" t="str">
        <f t="shared" si="22"/>
        <v/>
      </c>
      <c r="G293" s="101"/>
      <c r="H293" s="101"/>
      <c r="I293" s="101"/>
      <c r="J293" s="68"/>
      <c r="L293" t="str">
        <f t="shared" si="23"/>
        <v/>
      </c>
      <c r="M293" t="str">
        <f t="shared" si="24"/>
        <v/>
      </c>
    </row>
    <row r="294" spans="1:13">
      <c r="A294" s="60" t="str">
        <f>IF(E294="","",VLOOKUP('OPĆI DIO'!$C$3,'OPĆI DIO'!$L$6:$U$138,10,FALSE))</f>
        <v/>
      </c>
      <c r="B294" s="60" t="str">
        <f>IF(E294="","",VLOOKUP('OPĆI DIO'!$C$3,'OPĆI DIO'!$L$6:$U$138,9,FALSE))</f>
        <v/>
      </c>
      <c r="C294" s="103" t="str">
        <f t="shared" si="20"/>
        <v/>
      </c>
      <c r="D294" s="59" t="str">
        <f t="shared" si="21"/>
        <v/>
      </c>
      <c r="E294" s="68"/>
      <c r="F294" s="106" t="str">
        <f t="shared" si="22"/>
        <v/>
      </c>
      <c r="G294" s="101"/>
      <c r="H294" s="101"/>
      <c r="I294" s="101"/>
      <c r="J294" s="68"/>
      <c r="L294" t="str">
        <f t="shared" si="23"/>
        <v/>
      </c>
      <c r="M294" t="str">
        <f t="shared" si="24"/>
        <v/>
      </c>
    </row>
    <row r="295" spans="1:13">
      <c r="A295" s="60" t="str">
        <f>IF(E295="","",VLOOKUP('OPĆI DIO'!$C$3,'OPĆI DIO'!$L$6:$U$138,10,FALSE))</f>
        <v/>
      </c>
      <c r="B295" s="60" t="str">
        <f>IF(E295="","",VLOOKUP('OPĆI DIO'!$C$3,'OPĆI DIO'!$L$6:$U$138,9,FALSE))</f>
        <v/>
      </c>
      <c r="C295" s="103" t="str">
        <f t="shared" si="20"/>
        <v/>
      </c>
      <c r="D295" s="59" t="str">
        <f t="shared" si="21"/>
        <v/>
      </c>
      <c r="E295" s="68"/>
      <c r="F295" s="106" t="str">
        <f t="shared" si="22"/>
        <v/>
      </c>
      <c r="G295" s="101"/>
      <c r="H295" s="101"/>
      <c r="I295" s="101"/>
      <c r="J295" s="68"/>
      <c r="L295" t="str">
        <f t="shared" si="23"/>
        <v/>
      </c>
      <c r="M295" t="str">
        <f t="shared" si="24"/>
        <v/>
      </c>
    </row>
    <row r="296" spans="1:13">
      <c r="A296" s="60" t="str">
        <f>IF(E296="","",VLOOKUP('OPĆI DIO'!$C$3,'OPĆI DIO'!$L$6:$U$138,10,FALSE))</f>
        <v/>
      </c>
      <c r="B296" s="60" t="str">
        <f>IF(E296="","",VLOOKUP('OPĆI DIO'!$C$3,'OPĆI DIO'!$L$6:$U$138,9,FALSE))</f>
        <v/>
      </c>
      <c r="C296" s="103" t="str">
        <f t="shared" si="20"/>
        <v/>
      </c>
      <c r="D296" s="59" t="str">
        <f t="shared" si="21"/>
        <v/>
      </c>
      <c r="E296" s="68"/>
      <c r="F296" s="106" t="str">
        <f t="shared" si="22"/>
        <v/>
      </c>
      <c r="G296" s="101"/>
      <c r="H296" s="101"/>
      <c r="I296" s="101"/>
      <c r="J296" s="68"/>
      <c r="L296" t="str">
        <f t="shared" si="23"/>
        <v/>
      </c>
      <c r="M296" t="str">
        <f t="shared" si="24"/>
        <v/>
      </c>
    </row>
    <row r="297" spans="1:13">
      <c r="A297" s="60" t="str">
        <f>IF(E297="","",VLOOKUP('OPĆI DIO'!$C$3,'OPĆI DIO'!$L$6:$U$138,10,FALSE))</f>
        <v/>
      </c>
      <c r="B297" s="60" t="str">
        <f>IF(E297="","",VLOOKUP('OPĆI DIO'!$C$3,'OPĆI DIO'!$L$6:$U$138,9,FALSE))</f>
        <v/>
      </c>
      <c r="C297" s="103" t="str">
        <f t="shared" si="20"/>
        <v/>
      </c>
      <c r="D297" s="59" t="str">
        <f t="shared" si="21"/>
        <v/>
      </c>
      <c r="E297" s="68"/>
      <c r="F297" s="106" t="str">
        <f t="shared" si="22"/>
        <v/>
      </c>
      <c r="G297" s="101"/>
      <c r="H297" s="101"/>
      <c r="I297" s="101"/>
      <c r="J297" s="68"/>
      <c r="L297" t="str">
        <f t="shared" si="23"/>
        <v/>
      </c>
      <c r="M297" t="str">
        <f t="shared" si="24"/>
        <v/>
      </c>
    </row>
    <row r="298" spans="1:13">
      <c r="A298" s="60" t="str">
        <f>IF(E298="","",VLOOKUP('OPĆI DIO'!$C$3,'OPĆI DIO'!$L$6:$U$138,10,FALSE))</f>
        <v/>
      </c>
      <c r="B298" s="60" t="str">
        <f>IF(E298="","",VLOOKUP('OPĆI DIO'!$C$3,'OPĆI DIO'!$L$6:$U$138,9,FALSE))</f>
        <v/>
      </c>
      <c r="C298" s="103" t="str">
        <f t="shared" si="20"/>
        <v/>
      </c>
      <c r="D298" s="59" t="str">
        <f t="shared" si="21"/>
        <v/>
      </c>
      <c r="E298" s="68"/>
      <c r="F298" s="106" t="str">
        <f t="shared" si="22"/>
        <v/>
      </c>
      <c r="G298" s="101"/>
      <c r="H298" s="101"/>
      <c r="I298" s="101"/>
      <c r="J298" s="68"/>
      <c r="L298" t="str">
        <f t="shared" si="23"/>
        <v/>
      </c>
      <c r="M298" t="str">
        <f t="shared" si="24"/>
        <v/>
      </c>
    </row>
    <row r="299" spans="1:13">
      <c r="A299" s="60" t="str">
        <f>IF(E299="","",VLOOKUP('OPĆI DIO'!$C$3,'OPĆI DIO'!$L$6:$U$138,10,FALSE))</f>
        <v/>
      </c>
      <c r="B299" s="60" t="str">
        <f>IF(E299="","",VLOOKUP('OPĆI DIO'!$C$3,'OPĆI DIO'!$L$6:$U$138,9,FALSE))</f>
        <v/>
      </c>
      <c r="C299" s="103" t="str">
        <f t="shared" si="20"/>
        <v/>
      </c>
      <c r="D299" s="59" t="str">
        <f t="shared" si="21"/>
        <v/>
      </c>
      <c r="E299" s="68"/>
      <c r="F299" s="106" t="str">
        <f t="shared" si="22"/>
        <v/>
      </c>
      <c r="G299" s="101"/>
      <c r="H299" s="101"/>
      <c r="I299" s="101"/>
      <c r="J299" s="68"/>
      <c r="L299" t="str">
        <f t="shared" si="23"/>
        <v/>
      </c>
      <c r="M299" t="str">
        <f t="shared" si="24"/>
        <v/>
      </c>
    </row>
    <row r="300" spans="1:13">
      <c r="A300" s="60" t="str">
        <f>IF(E300="","",VLOOKUP('OPĆI DIO'!$C$3,'OPĆI DIO'!$L$6:$U$138,10,FALSE))</f>
        <v/>
      </c>
      <c r="B300" s="60" t="str">
        <f>IF(E300="","",VLOOKUP('OPĆI DIO'!$C$3,'OPĆI DIO'!$L$6:$U$138,9,FALSE))</f>
        <v/>
      </c>
      <c r="C300" s="103" t="str">
        <f t="shared" si="20"/>
        <v/>
      </c>
      <c r="D300" s="59" t="str">
        <f t="shared" si="21"/>
        <v/>
      </c>
      <c r="E300" s="68"/>
      <c r="F300" s="106" t="str">
        <f t="shared" si="22"/>
        <v/>
      </c>
      <c r="G300" s="101"/>
      <c r="H300" s="101"/>
      <c r="I300" s="101"/>
      <c r="J300" s="68"/>
      <c r="L300" t="str">
        <f t="shared" si="23"/>
        <v/>
      </c>
      <c r="M300" t="str">
        <f t="shared" si="24"/>
        <v/>
      </c>
    </row>
    <row r="301" spans="1:13">
      <c r="A301" s="60" t="str">
        <f>IF(E301="","",VLOOKUP('OPĆI DIO'!$C$3,'OPĆI DIO'!$L$6:$U$138,10,FALSE))</f>
        <v/>
      </c>
      <c r="B301" s="60" t="str">
        <f>IF(E301="","",VLOOKUP('OPĆI DIO'!$C$3,'OPĆI DIO'!$L$6:$U$138,9,FALSE))</f>
        <v/>
      </c>
      <c r="C301" s="103" t="str">
        <f t="shared" si="20"/>
        <v/>
      </c>
      <c r="D301" s="59" t="str">
        <f t="shared" si="21"/>
        <v/>
      </c>
      <c r="E301" s="68"/>
      <c r="F301" s="106" t="str">
        <f t="shared" si="22"/>
        <v/>
      </c>
      <c r="G301" s="101"/>
      <c r="H301" s="101"/>
      <c r="I301" s="101"/>
      <c r="J301" s="68"/>
      <c r="L301" t="str">
        <f t="shared" si="23"/>
        <v/>
      </c>
      <c r="M301" t="str">
        <f t="shared" si="24"/>
        <v/>
      </c>
    </row>
    <row r="302" spans="1:13">
      <c r="A302" s="60" t="str">
        <f>IF(E302="","",VLOOKUP('OPĆI DIO'!$C$3,'OPĆI DIO'!$L$6:$U$138,10,FALSE))</f>
        <v/>
      </c>
      <c r="B302" s="60" t="str">
        <f>IF(E302="","",VLOOKUP('OPĆI DIO'!$C$3,'OPĆI DIO'!$L$6:$U$138,9,FALSE))</f>
        <v/>
      </c>
      <c r="C302" s="103" t="str">
        <f t="shared" si="20"/>
        <v/>
      </c>
      <c r="D302" s="59" t="str">
        <f t="shared" si="21"/>
        <v/>
      </c>
      <c r="E302" s="68"/>
      <c r="F302" s="106" t="str">
        <f t="shared" si="22"/>
        <v/>
      </c>
      <c r="G302" s="101"/>
      <c r="H302" s="101"/>
      <c r="I302" s="101"/>
      <c r="J302" s="68"/>
      <c r="L302" t="str">
        <f t="shared" si="23"/>
        <v/>
      </c>
      <c r="M302" t="str">
        <f t="shared" si="24"/>
        <v/>
      </c>
    </row>
    <row r="303" spans="1:13">
      <c r="A303" s="60" t="str">
        <f>IF(E303="","",VLOOKUP('OPĆI DIO'!$C$3,'OPĆI DIO'!$L$6:$U$138,10,FALSE))</f>
        <v/>
      </c>
      <c r="B303" s="60" t="str">
        <f>IF(E303="","",VLOOKUP('OPĆI DIO'!$C$3,'OPĆI DIO'!$L$6:$U$138,9,FALSE))</f>
        <v/>
      </c>
      <c r="C303" s="103" t="str">
        <f t="shared" si="20"/>
        <v/>
      </c>
      <c r="D303" s="59" t="str">
        <f t="shared" si="21"/>
        <v/>
      </c>
      <c r="E303" s="68"/>
      <c r="F303" s="106" t="str">
        <f t="shared" si="22"/>
        <v/>
      </c>
      <c r="G303" s="101"/>
      <c r="H303" s="101"/>
      <c r="I303" s="101"/>
      <c r="J303" s="68"/>
      <c r="L303" t="str">
        <f t="shared" si="23"/>
        <v/>
      </c>
      <c r="M303" t="str">
        <f t="shared" si="24"/>
        <v/>
      </c>
    </row>
    <row r="304" spans="1:13">
      <c r="A304" s="60" t="str">
        <f>IF(E304="","",VLOOKUP('OPĆI DIO'!$C$3,'OPĆI DIO'!$L$6:$U$138,10,FALSE))</f>
        <v/>
      </c>
      <c r="B304" s="60" t="str">
        <f>IF(E304="","",VLOOKUP('OPĆI DIO'!$C$3,'OPĆI DIO'!$L$6:$U$138,9,FALSE))</f>
        <v/>
      </c>
      <c r="C304" s="103" t="str">
        <f t="shared" si="20"/>
        <v/>
      </c>
      <c r="D304" s="59" t="str">
        <f t="shared" si="21"/>
        <v/>
      </c>
      <c r="E304" s="68"/>
      <c r="F304" s="106" t="str">
        <f t="shared" si="22"/>
        <v/>
      </c>
      <c r="G304" s="101"/>
      <c r="H304" s="101"/>
      <c r="I304" s="101"/>
      <c r="J304" s="68"/>
      <c r="L304" t="str">
        <f t="shared" si="23"/>
        <v/>
      </c>
      <c r="M304" t="str">
        <f t="shared" si="24"/>
        <v/>
      </c>
    </row>
    <row r="305" spans="1:13">
      <c r="A305" s="60" t="str">
        <f>IF(E305="","",VLOOKUP('OPĆI DIO'!$C$3,'OPĆI DIO'!$L$6:$U$138,10,FALSE))</f>
        <v/>
      </c>
      <c r="B305" s="60" t="str">
        <f>IF(E305="","",VLOOKUP('OPĆI DIO'!$C$3,'OPĆI DIO'!$L$6:$U$138,9,FALSE))</f>
        <v/>
      </c>
      <c r="C305" s="103" t="str">
        <f t="shared" si="20"/>
        <v/>
      </c>
      <c r="D305" s="59" t="str">
        <f t="shared" si="21"/>
        <v/>
      </c>
      <c r="E305" s="68"/>
      <c r="F305" s="106" t="str">
        <f t="shared" si="22"/>
        <v/>
      </c>
      <c r="G305" s="101"/>
      <c r="H305" s="101"/>
      <c r="I305" s="101"/>
      <c r="J305" s="68"/>
      <c r="L305" t="str">
        <f t="shared" si="23"/>
        <v/>
      </c>
      <c r="M305" t="str">
        <f t="shared" si="24"/>
        <v/>
      </c>
    </row>
    <row r="306" spans="1:13">
      <c r="A306" s="60" t="str">
        <f>IF(E306="","",VLOOKUP('OPĆI DIO'!$C$3,'OPĆI DIO'!$L$6:$U$138,10,FALSE))</f>
        <v/>
      </c>
      <c r="B306" s="60" t="str">
        <f>IF(E306="","",VLOOKUP('OPĆI DIO'!$C$3,'OPĆI DIO'!$L$6:$U$138,9,FALSE))</f>
        <v/>
      </c>
      <c r="C306" s="103" t="str">
        <f t="shared" si="20"/>
        <v/>
      </c>
      <c r="D306" s="59" t="str">
        <f t="shared" si="21"/>
        <v/>
      </c>
      <c r="E306" s="68"/>
      <c r="F306" s="106" t="str">
        <f t="shared" si="22"/>
        <v/>
      </c>
      <c r="G306" s="101"/>
      <c r="H306" s="101"/>
      <c r="I306" s="101"/>
      <c r="J306" s="68"/>
      <c r="L306" t="str">
        <f t="shared" si="23"/>
        <v/>
      </c>
      <c r="M306" t="str">
        <f t="shared" si="24"/>
        <v/>
      </c>
    </row>
    <row r="307" spans="1:13">
      <c r="A307" s="60" t="str">
        <f>IF(E307="","",VLOOKUP('OPĆI DIO'!$C$3,'OPĆI DIO'!$L$6:$U$138,10,FALSE))</f>
        <v/>
      </c>
      <c r="B307" s="60" t="str">
        <f>IF(E307="","",VLOOKUP('OPĆI DIO'!$C$3,'OPĆI DIO'!$L$6:$U$138,9,FALSE))</f>
        <v/>
      </c>
      <c r="C307" s="103" t="str">
        <f t="shared" si="20"/>
        <v/>
      </c>
      <c r="D307" s="59" t="str">
        <f t="shared" si="21"/>
        <v/>
      </c>
      <c r="E307" s="68"/>
      <c r="F307" s="106" t="str">
        <f t="shared" si="22"/>
        <v/>
      </c>
      <c r="G307" s="101"/>
      <c r="H307" s="101"/>
      <c r="I307" s="101"/>
      <c r="J307" s="68"/>
      <c r="L307" t="str">
        <f t="shared" si="23"/>
        <v/>
      </c>
      <c r="M307" t="str">
        <f t="shared" si="24"/>
        <v/>
      </c>
    </row>
    <row r="308" spans="1:13">
      <c r="A308" s="60" t="str">
        <f>IF(E308="","",VLOOKUP('OPĆI DIO'!$C$3,'OPĆI DIO'!$L$6:$U$138,10,FALSE))</f>
        <v/>
      </c>
      <c r="B308" s="60" t="str">
        <f>IF(E308="","",VLOOKUP('OPĆI DIO'!$C$3,'OPĆI DIO'!$L$6:$U$138,9,FALSE))</f>
        <v/>
      </c>
      <c r="C308" s="103" t="str">
        <f t="shared" si="20"/>
        <v/>
      </c>
      <c r="D308" s="59" t="str">
        <f t="shared" si="21"/>
        <v/>
      </c>
      <c r="E308" s="68"/>
      <c r="F308" s="106" t="str">
        <f t="shared" si="22"/>
        <v/>
      </c>
      <c r="G308" s="101"/>
      <c r="H308" s="101"/>
      <c r="I308" s="101"/>
      <c r="J308" s="68"/>
      <c r="L308" t="str">
        <f t="shared" si="23"/>
        <v/>
      </c>
      <c r="M308" t="str">
        <f t="shared" si="24"/>
        <v/>
      </c>
    </row>
    <row r="309" spans="1:13">
      <c r="A309" s="60" t="str">
        <f>IF(E309="","",VLOOKUP('OPĆI DIO'!$C$3,'OPĆI DIO'!$L$6:$U$138,10,FALSE))</f>
        <v/>
      </c>
      <c r="B309" s="60" t="str">
        <f>IF(E309="","",VLOOKUP('OPĆI DIO'!$C$3,'OPĆI DIO'!$L$6:$U$138,9,FALSE))</f>
        <v/>
      </c>
      <c r="C309" s="103" t="str">
        <f t="shared" si="20"/>
        <v/>
      </c>
      <c r="D309" s="59" t="str">
        <f t="shared" si="21"/>
        <v/>
      </c>
      <c r="E309" s="68"/>
      <c r="F309" s="106" t="str">
        <f t="shared" si="22"/>
        <v/>
      </c>
      <c r="G309" s="101"/>
      <c r="H309" s="101"/>
      <c r="I309" s="101"/>
      <c r="J309" s="68"/>
      <c r="L309" t="str">
        <f t="shared" si="23"/>
        <v/>
      </c>
      <c r="M309" t="str">
        <f t="shared" si="24"/>
        <v/>
      </c>
    </row>
    <row r="310" spans="1:13">
      <c r="A310" s="60" t="str">
        <f>IF(E310="","",VLOOKUP('OPĆI DIO'!$C$3,'OPĆI DIO'!$L$6:$U$138,10,FALSE))</f>
        <v/>
      </c>
      <c r="B310" s="60" t="str">
        <f>IF(E310="","",VLOOKUP('OPĆI DIO'!$C$3,'OPĆI DIO'!$L$6:$U$138,9,FALSE))</f>
        <v/>
      </c>
      <c r="C310" s="103" t="str">
        <f t="shared" si="20"/>
        <v/>
      </c>
      <c r="D310" s="59" t="str">
        <f t="shared" si="21"/>
        <v/>
      </c>
      <c r="E310" s="68"/>
      <c r="F310" s="106" t="str">
        <f t="shared" si="22"/>
        <v/>
      </c>
      <c r="G310" s="101"/>
      <c r="H310" s="101"/>
      <c r="I310" s="101"/>
      <c r="J310" s="68"/>
      <c r="L310" t="str">
        <f t="shared" si="23"/>
        <v/>
      </c>
      <c r="M310" t="str">
        <f t="shared" si="24"/>
        <v/>
      </c>
    </row>
    <row r="311" spans="1:13">
      <c r="A311" s="60" t="str">
        <f>IF(E311="","",VLOOKUP('OPĆI DIO'!$C$3,'OPĆI DIO'!$L$6:$U$138,10,FALSE))</f>
        <v/>
      </c>
      <c r="B311" s="60" t="str">
        <f>IF(E311="","",VLOOKUP('OPĆI DIO'!$C$3,'OPĆI DIO'!$L$6:$U$138,9,FALSE))</f>
        <v/>
      </c>
      <c r="C311" s="103" t="str">
        <f t="shared" si="20"/>
        <v/>
      </c>
      <c r="D311" s="59" t="str">
        <f t="shared" si="21"/>
        <v/>
      </c>
      <c r="E311" s="68"/>
      <c r="F311" s="106" t="str">
        <f t="shared" si="22"/>
        <v/>
      </c>
      <c r="G311" s="101"/>
      <c r="H311" s="101"/>
      <c r="I311" s="101"/>
      <c r="J311" s="68"/>
      <c r="L311" t="str">
        <f t="shared" si="23"/>
        <v/>
      </c>
      <c r="M311" t="str">
        <f t="shared" si="24"/>
        <v/>
      </c>
    </row>
    <row r="312" spans="1:13">
      <c r="A312" s="60" t="str">
        <f>IF(E312="","",VLOOKUP('OPĆI DIO'!$C$3,'OPĆI DIO'!$L$6:$U$138,10,FALSE))</f>
        <v/>
      </c>
      <c r="B312" s="60" t="str">
        <f>IF(E312="","",VLOOKUP('OPĆI DIO'!$C$3,'OPĆI DIO'!$L$6:$U$138,9,FALSE))</f>
        <v/>
      </c>
      <c r="C312" s="103" t="str">
        <f t="shared" si="20"/>
        <v/>
      </c>
      <c r="D312" s="59" t="str">
        <f t="shared" si="21"/>
        <v/>
      </c>
      <c r="E312" s="68"/>
      <c r="F312" s="106" t="str">
        <f t="shared" si="22"/>
        <v/>
      </c>
      <c r="G312" s="101"/>
      <c r="H312" s="101"/>
      <c r="I312" s="101"/>
      <c r="J312" s="68"/>
      <c r="L312" t="str">
        <f t="shared" si="23"/>
        <v/>
      </c>
      <c r="M312" t="str">
        <f t="shared" si="24"/>
        <v/>
      </c>
    </row>
    <row r="313" spans="1:13">
      <c r="A313" s="60" t="str">
        <f>IF(E313="","",VLOOKUP('OPĆI DIO'!$C$3,'OPĆI DIO'!$L$6:$U$138,10,FALSE))</f>
        <v/>
      </c>
      <c r="B313" s="60" t="str">
        <f>IF(E313="","",VLOOKUP('OPĆI DIO'!$C$3,'OPĆI DIO'!$L$6:$U$138,9,FALSE))</f>
        <v/>
      </c>
      <c r="C313" s="103" t="str">
        <f t="shared" si="20"/>
        <v/>
      </c>
      <c r="D313" s="59" t="str">
        <f t="shared" si="21"/>
        <v/>
      </c>
      <c r="E313" s="68"/>
      <c r="F313" s="106" t="str">
        <f t="shared" si="22"/>
        <v/>
      </c>
      <c r="G313" s="101"/>
      <c r="H313" s="101"/>
      <c r="I313" s="101"/>
      <c r="J313" s="68"/>
      <c r="L313" t="str">
        <f t="shared" si="23"/>
        <v/>
      </c>
      <c r="M313" t="str">
        <f t="shared" si="24"/>
        <v/>
      </c>
    </row>
    <row r="314" spans="1:13">
      <c r="A314" s="60" t="str">
        <f>IF(E314="","",VLOOKUP('OPĆI DIO'!$C$3,'OPĆI DIO'!$L$6:$U$138,10,FALSE))</f>
        <v/>
      </c>
      <c r="B314" s="60" t="str">
        <f>IF(E314="","",VLOOKUP('OPĆI DIO'!$C$3,'OPĆI DIO'!$L$6:$U$138,9,FALSE))</f>
        <v/>
      </c>
      <c r="C314" s="103" t="str">
        <f t="shared" si="20"/>
        <v/>
      </c>
      <c r="D314" s="59" t="str">
        <f t="shared" si="21"/>
        <v/>
      </c>
      <c r="E314" s="68"/>
      <c r="F314" s="106" t="str">
        <f t="shared" si="22"/>
        <v/>
      </c>
      <c r="G314" s="101"/>
      <c r="H314" s="101"/>
      <c r="I314" s="101"/>
      <c r="J314" s="68"/>
      <c r="L314" t="str">
        <f t="shared" si="23"/>
        <v/>
      </c>
      <c r="M314" t="str">
        <f t="shared" si="24"/>
        <v/>
      </c>
    </row>
    <row r="315" spans="1:13">
      <c r="A315" s="60" t="str">
        <f>IF(E315="","",VLOOKUP('OPĆI DIO'!$C$3,'OPĆI DIO'!$L$6:$U$138,10,FALSE))</f>
        <v/>
      </c>
      <c r="B315" s="60" t="str">
        <f>IF(E315="","",VLOOKUP('OPĆI DIO'!$C$3,'OPĆI DIO'!$L$6:$U$138,9,FALSE))</f>
        <v/>
      </c>
      <c r="C315" s="103" t="str">
        <f t="shared" si="20"/>
        <v/>
      </c>
      <c r="D315" s="59" t="str">
        <f t="shared" si="21"/>
        <v/>
      </c>
      <c r="E315" s="68"/>
      <c r="F315" s="106" t="str">
        <f t="shared" si="22"/>
        <v/>
      </c>
      <c r="G315" s="101"/>
      <c r="H315" s="101"/>
      <c r="I315" s="101"/>
      <c r="J315" s="68"/>
      <c r="L315" t="str">
        <f t="shared" si="23"/>
        <v/>
      </c>
      <c r="M315" t="str">
        <f t="shared" si="24"/>
        <v/>
      </c>
    </row>
    <row r="316" spans="1:13">
      <c r="A316" s="60" t="str">
        <f>IF(E316="","",VLOOKUP('OPĆI DIO'!$C$3,'OPĆI DIO'!$L$6:$U$138,10,FALSE))</f>
        <v/>
      </c>
      <c r="B316" s="60" t="str">
        <f>IF(E316="","",VLOOKUP('OPĆI DIO'!$C$3,'OPĆI DIO'!$L$6:$U$138,9,FALSE))</f>
        <v/>
      </c>
      <c r="C316" s="103" t="str">
        <f t="shared" si="20"/>
        <v/>
      </c>
      <c r="D316" s="59" t="str">
        <f t="shared" si="21"/>
        <v/>
      </c>
      <c r="E316" s="68"/>
      <c r="F316" s="106" t="str">
        <f t="shared" si="22"/>
        <v/>
      </c>
      <c r="G316" s="101"/>
      <c r="H316" s="101"/>
      <c r="I316" s="101"/>
      <c r="J316" s="68"/>
      <c r="L316" t="str">
        <f t="shared" si="23"/>
        <v/>
      </c>
      <c r="M316" t="str">
        <f t="shared" si="24"/>
        <v/>
      </c>
    </row>
    <row r="317" spans="1:13">
      <c r="A317" s="60" t="str">
        <f>IF(E317="","",VLOOKUP('OPĆI DIO'!$C$3,'OPĆI DIO'!$L$6:$U$138,10,FALSE))</f>
        <v/>
      </c>
      <c r="B317" s="60" t="str">
        <f>IF(E317="","",VLOOKUP('OPĆI DIO'!$C$3,'OPĆI DIO'!$L$6:$U$138,9,FALSE))</f>
        <v/>
      </c>
      <c r="C317" s="103" t="str">
        <f t="shared" si="20"/>
        <v/>
      </c>
      <c r="D317" s="59" t="str">
        <f t="shared" si="21"/>
        <v/>
      </c>
      <c r="E317" s="68"/>
      <c r="F317" s="106" t="str">
        <f t="shared" si="22"/>
        <v/>
      </c>
      <c r="G317" s="101"/>
      <c r="H317" s="101"/>
      <c r="I317" s="101"/>
      <c r="J317" s="68"/>
      <c r="L317" t="str">
        <f t="shared" si="23"/>
        <v/>
      </c>
      <c r="M317" t="str">
        <f t="shared" si="24"/>
        <v/>
      </c>
    </row>
    <row r="318" spans="1:13">
      <c r="A318" s="60" t="str">
        <f>IF(E318="","",VLOOKUP('OPĆI DIO'!$C$3,'OPĆI DIO'!$L$6:$U$138,10,FALSE))</f>
        <v/>
      </c>
      <c r="B318" s="60" t="str">
        <f>IF(E318="","",VLOOKUP('OPĆI DIO'!$C$3,'OPĆI DIO'!$L$6:$U$138,9,FALSE))</f>
        <v/>
      </c>
      <c r="C318" s="103" t="str">
        <f t="shared" si="20"/>
        <v/>
      </c>
      <c r="D318" s="59" t="str">
        <f t="shared" si="21"/>
        <v/>
      </c>
      <c r="E318" s="68"/>
      <c r="F318" s="106" t="str">
        <f t="shared" si="22"/>
        <v/>
      </c>
      <c r="G318" s="101"/>
      <c r="H318" s="101"/>
      <c r="I318" s="101"/>
      <c r="J318" s="68"/>
      <c r="L318" t="str">
        <f t="shared" si="23"/>
        <v/>
      </c>
      <c r="M318" t="str">
        <f t="shared" si="24"/>
        <v/>
      </c>
    </row>
    <row r="319" spans="1:13">
      <c r="A319" s="60" t="str">
        <f>IF(E319="","",VLOOKUP('OPĆI DIO'!$C$3,'OPĆI DIO'!$L$6:$U$138,10,FALSE))</f>
        <v/>
      </c>
      <c r="B319" s="60" t="str">
        <f>IF(E319="","",VLOOKUP('OPĆI DIO'!$C$3,'OPĆI DIO'!$L$6:$U$138,9,FALSE))</f>
        <v/>
      </c>
      <c r="C319" s="103" t="str">
        <f t="shared" si="20"/>
        <v/>
      </c>
      <c r="D319" s="59" t="str">
        <f t="shared" si="21"/>
        <v/>
      </c>
      <c r="E319" s="68"/>
      <c r="F319" s="106" t="str">
        <f t="shared" si="22"/>
        <v/>
      </c>
      <c r="G319" s="101"/>
      <c r="H319" s="101"/>
      <c r="I319" s="101"/>
      <c r="J319" s="68"/>
      <c r="L319" t="str">
        <f t="shared" si="23"/>
        <v/>
      </c>
      <c r="M319" t="str">
        <f t="shared" si="24"/>
        <v/>
      </c>
    </row>
    <row r="320" spans="1:13">
      <c r="A320" s="60" t="str">
        <f>IF(E320="","",VLOOKUP('OPĆI DIO'!$C$3,'OPĆI DIO'!$L$6:$U$138,10,FALSE))</f>
        <v/>
      </c>
      <c r="B320" s="60" t="str">
        <f>IF(E320="","",VLOOKUP('OPĆI DIO'!$C$3,'OPĆI DIO'!$L$6:$U$138,9,FALSE))</f>
        <v/>
      </c>
      <c r="C320" s="103" t="str">
        <f t="shared" si="20"/>
        <v/>
      </c>
      <c r="D320" s="59" t="str">
        <f t="shared" si="21"/>
        <v/>
      </c>
      <c r="E320" s="68"/>
      <c r="F320" s="106" t="str">
        <f t="shared" si="22"/>
        <v/>
      </c>
      <c r="G320" s="101"/>
      <c r="H320" s="101"/>
      <c r="I320" s="101"/>
      <c r="J320" s="68"/>
      <c r="L320" t="str">
        <f t="shared" si="23"/>
        <v/>
      </c>
      <c r="M320" t="str">
        <f t="shared" si="24"/>
        <v/>
      </c>
    </row>
    <row r="321" spans="1:13">
      <c r="A321" s="60" t="str">
        <f>IF(E321="","",VLOOKUP('OPĆI DIO'!$C$3,'OPĆI DIO'!$L$6:$U$138,10,FALSE))</f>
        <v/>
      </c>
      <c r="B321" s="60" t="str">
        <f>IF(E321="","",VLOOKUP('OPĆI DIO'!$C$3,'OPĆI DIO'!$L$6:$U$138,9,FALSE))</f>
        <v/>
      </c>
      <c r="C321" s="103" t="str">
        <f t="shared" si="20"/>
        <v/>
      </c>
      <c r="D321" s="59" t="str">
        <f t="shared" si="21"/>
        <v/>
      </c>
      <c r="E321" s="68"/>
      <c r="F321" s="106" t="str">
        <f t="shared" si="22"/>
        <v/>
      </c>
      <c r="G321" s="101"/>
      <c r="H321" s="101"/>
      <c r="I321" s="101"/>
      <c r="J321" s="68"/>
      <c r="L321" t="str">
        <f t="shared" si="23"/>
        <v/>
      </c>
      <c r="M321" t="str">
        <f t="shared" si="24"/>
        <v/>
      </c>
    </row>
    <row r="322" spans="1:13">
      <c r="A322" s="60" t="str">
        <f>IF(E322="","",VLOOKUP('OPĆI DIO'!$C$3,'OPĆI DIO'!$L$6:$U$138,10,FALSE))</f>
        <v/>
      </c>
      <c r="B322" s="60" t="str">
        <f>IF(E322="","",VLOOKUP('OPĆI DIO'!$C$3,'OPĆI DIO'!$L$6:$U$138,9,FALSE))</f>
        <v/>
      </c>
      <c r="C322" s="103" t="str">
        <f t="shared" si="20"/>
        <v/>
      </c>
      <c r="D322" s="59" t="str">
        <f t="shared" si="21"/>
        <v/>
      </c>
      <c r="E322" s="68"/>
      <c r="F322" s="106" t="str">
        <f t="shared" si="22"/>
        <v/>
      </c>
      <c r="G322" s="101"/>
      <c r="H322" s="101"/>
      <c r="I322" s="101"/>
      <c r="J322" s="68"/>
      <c r="L322" t="str">
        <f t="shared" si="23"/>
        <v/>
      </c>
      <c r="M322" t="str">
        <f t="shared" si="24"/>
        <v/>
      </c>
    </row>
    <row r="323" spans="1:13">
      <c r="A323" s="60" t="str">
        <f>IF(E323="","",VLOOKUP('OPĆI DIO'!$C$3,'OPĆI DIO'!$L$6:$U$138,10,FALSE))</f>
        <v/>
      </c>
      <c r="B323" s="60" t="str">
        <f>IF(E323="","",VLOOKUP('OPĆI DIO'!$C$3,'OPĆI DIO'!$L$6:$U$138,9,FALSE))</f>
        <v/>
      </c>
      <c r="C323" s="103" t="str">
        <f t="shared" ref="C323:C386" si="25">IFERROR(VLOOKUP(E323,$R$6:$U$113,3,FALSE),"")</f>
        <v/>
      </c>
      <c r="D323" s="59" t="str">
        <f t="shared" ref="D323:D386" si="26">IFERROR(VLOOKUP(E323,$R$6:$U$113,4,FALSE),"")</f>
        <v/>
      </c>
      <c r="E323" s="68"/>
      <c r="F323" s="106" t="str">
        <f t="shared" ref="F323:F386" si="27">IFERROR(VLOOKUP(E323,$R$6:$U$113,2,FALSE),"")</f>
        <v/>
      </c>
      <c r="G323" s="101"/>
      <c r="H323" s="101"/>
      <c r="I323" s="101"/>
      <c r="J323" s="68"/>
      <c r="L323" t="str">
        <f t="shared" si="23"/>
        <v/>
      </c>
      <c r="M323" t="str">
        <f t="shared" si="24"/>
        <v/>
      </c>
    </row>
    <row r="324" spans="1:13">
      <c r="A324" s="60" t="str">
        <f>IF(E324="","",VLOOKUP('OPĆI DIO'!$C$3,'OPĆI DIO'!$L$6:$U$138,10,FALSE))</f>
        <v/>
      </c>
      <c r="B324" s="60" t="str">
        <f>IF(E324="","",VLOOKUP('OPĆI DIO'!$C$3,'OPĆI DIO'!$L$6:$U$138,9,FALSE))</f>
        <v/>
      </c>
      <c r="C324" s="103" t="str">
        <f t="shared" si="25"/>
        <v/>
      </c>
      <c r="D324" s="59" t="str">
        <f t="shared" si="26"/>
        <v/>
      </c>
      <c r="E324" s="68"/>
      <c r="F324" s="106" t="str">
        <f t="shared" si="27"/>
        <v/>
      </c>
      <c r="G324" s="101"/>
      <c r="H324" s="101"/>
      <c r="I324" s="101"/>
      <c r="J324" s="68"/>
      <c r="L324" t="str">
        <f t="shared" ref="L324:L387" si="28">LEFT(E324,2)</f>
        <v/>
      </c>
      <c r="M324" t="str">
        <f t="shared" ref="M324:M387" si="29">LEFT(E324,3)</f>
        <v/>
      </c>
    </row>
    <row r="325" spans="1:13">
      <c r="A325" s="60" t="str">
        <f>IF(E325="","",VLOOKUP('OPĆI DIO'!$C$3,'OPĆI DIO'!$L$6:$U$138,10,FALSE))</f>
        <v/>
      </c>
      <c r="B325" s="60" t="str">
        <f>IF(E325="","",VLOOKUP('OPĆI DIO'!$C$3,'OPĆI DIO'!$L$6:$U$138,9,FALSE))</f>
        <v/>
      </c>
      <c r="C325" s="103" t="str">
        <f t="shared" si="25"/>
        <v/>
      </c>
      <c r="D325" s="59" t="str">
        <f t="shared" si="26"/>
        <v/>
      </c>
      <c r="E325" s="68"/>
      <c r="F325" s="106" t="str">
        <f t="shared" si="27"/>
        <v/>
      </c>
      <c r="G325" s="101"/>
      <c r="H325" s="101"/>
      <c r="I325" s="101"/>
      <c r="J325" s="68"/>
      <c r="L325" t="str">
        <f t="shared" si="28"/>
        <v/>
      </c>
      <c r="M325" t="str">
        <f t="shared" si="29"/>
        <v/>
      </c>
    </row>
    <row r="326" spans="1:13">
      <c r="A326" s="60" t="str">
        <f>IF(E326="","",VLOOKUP('OPĆI DIO'!$C$3,'OPĆI DIO'!$L$6:$U$138,10,FALSE))</f>
        <v/>
      </c>
      <c r="B326" s="60" t="str">
        <f>IF(E326="","",VLOOKUP('OPĆI DIO'!$C$3,'OPĆI DIO'!$L$6:$U$138,9,FALSE))</f>
        <v/>
      </c>
      <c r="C326" s="103" t="str">
        <f t="shared" si="25"/>
        <v/>
      </c>
      <c r="D326" s="59" t="str">
        <f t="shared" si="26"/>
        <v/>
      </c>
      <c r="E326" s="68"/>
      <c r="F326" s="106" t="str">
        <f t="shared" si="27"/>
        <v/>
      </c>
      <c r="G326" s="101"/>
      <c r="H326" s="101"/>
      <c r="I326" s="101"/>
      <c r="J326" s="68"/>
      <c r="L326" t="str">
        <f t="shared" si="28"/>
        <v/>
      </c>
      <c r="M326" t="str">
        <f t="shared" si="29"/>
        <v/>
      </c>
    </row>
    <row r="327" spans="1:13">
      <c r="A327" s="60" t="str">
        <f>IF(E327="","",VLOOKUP('OPĆI DIO'!$C$3,'OPĆI DIO'!$L$6:$U$138,10,FALSE))</f>
        <v/>
      </c>
      <c r="B327" s="60" t="str">
        <f>IF(E327="","",VLOOKUP('OPĆI DIO'!$C$3,'OPĆI DIO'!$L$6:$U$138,9,FALSE))</f>
        <v/>
      </c>
      <c r="C327" s="103" t="str">
        <f t="shared" si="25"/>
        <v/>
      </c>
      <c r="D327" s="59" t="str">
        <f t="shared" si="26"/>
        <v/>
      </c>
      <c r="E327" s="68"/>
      <c r="F327" s="106" t="str">
        <f t="shared" si="27"/>
        <v/>
      </c>
      <c r="G327" s="101"/>
      <c r="H327" s="101"/>
      <c r="I327" s="101"/>
      <c r="J327" s="68"/>
      <c r="L327" t="str">
        <f t="shared" si="28"/>
        <v/>
      </c>
      <c r="M327" t="str">
        <f t="shared" si="29"/>
        <v/>
      </c>
    </row>
    <row r="328" spans="1:13">
      <c r="A328" s="60" t="str">
        <f>IF(E328="","",VLOOKUP('OPĆI DIO'!$C$3,'OPĆI DIO'!$L$6:$U$138,10,FALSE))</f>
        <v/>
      </c>
      <c r="B328" s="60" t="str">
        <f>IF(E328="","",VLOOKUP('OPĆI DIO'!$C$3,'OPĆI DIO'!$L$6:$U$138,9,FALSE))</f>
        <v/>
      </c>
      <c r="C328" s="103" t="str">
        <f t="shared" si="25"/>
        <v/>
      </c>
      <c r="D328" s="59" t="str">
        <f t="shared" si="26"/>
        <v/>
      </c>
      <c r="E328" s="68"/>
      <c r="F328" s="106" t="str">
        <f t="shared" si="27"/>
        <v/>
      </c>
      <c r="G328" s="101"/>
      <c r="H328" s="101"/>
      <c r="I328" s="101"/>
      <c r="J328" s="68"/>
      <c r="L328" t="str">
        <f t="shared" si="28"/>
        <v/>
      </c>
      <c r="M328" t="str">
        <f t="shared" si="29"/>
        <v/>
      </c>
    </row>
    <row r="329" spans="1:13">
      <c r="A329" s="60" t="str">
        <f>IF(E329="","",VLOOKUP('OPĆI DIO'!$C$3,'OPĆI DIO'!$L$6:$U$138,10,FALSE))</f>
        <v/>
      </c>
      <c r="B329" s="60" t="str">
        <f>IF(E329="","",VLOOKUP('OPĆI DIO'!$C$3,'OPĆI DIO'!$L$6:$U$138,9,FALSE))</f>
        <v/>
      </c>
      <c r="C329" s="103" t="str">
        <f t="shared" si="25"/>
        <v/>
      </c>
      <c r="D329" s="59" t="str">
        <f t="shared" si="26"/>
        <v/>
      </c>
      <c r="E329" s="68"/>
      <c r="F329" s="106" t="str">
        <f t="shared" si="27"/>
        <v/>
      </c>
      <c r="G329" s="101"/>
      <c r="H329" s="101"/>
      <c r="I329" s="101"/>
      <c r="J329" s="68"/>
      <c r="L329" t="str">
        <f t="shared" si="28"/>
        <v/>
      </c>
      <c r="M329" t="str">
        <f t="shared" si="29"/>
        <v/>
      </c>
    </row>
    <row r="330" spans="1:13">
      <c r="A330" s="60" t="str">
        <f>IF(E330="","",VLOOKUP('OPĆI DIO'!$C$3,'OPĆI DIO'!$L$6:$U$138,10,FALSE))</f>
        <v/>
      </c>
      <c r="B330" s="60" t="str">
        <f>IF(E330="","",VLOOKUP('OPĆI DIO'!$C$3,'OPĆI DIO'!$L$6:$U$138,9,FALSE))</f>
        <v/>
      </c>
      <c r="C330" s="103" t="str">
        <f t="shared" si="25"/>
        <v/>
      </c>
      <c r="D330" s="59" t="str">
        <f t="shared" si="26"/>
        <v/>
      </c>
      <c r="E330" s="68"/>
      <c r="F330" s="106" t="str">
        <f t="shared" si="27"/>
        <v/>
      </c>
      <c r="G330" s="101"/>
      <c r="H330" s="101"/>
      <c r="I330" s="101"/>
      <c r="J330" s="68"/>
      <c r="L330" t="str">
        <f t="shared" si="28"/>
        <v/>
      </c>
      <c r="M330" t="str">
        <f t="shared" si="29"/>
        <v/>
      </c>
    </row>
    <row r="331" spans="1:13">
      <c r="A331" s="60" t="str">
        <f>IF(E331="","",VLOOKUP('OPĆI DIO'!$C$3,'OPĆI DIO'!$L$6:$U$138,10,FALSE))</f>
        <v/>
      </c>
      <c r="B331" s="60" t="str">
        <f>IF(E331="","",VLOOKUP('OPĆI DIO'!$C$3,'OPĆI DIO'!$L$6:$U$138,9,FALSE))</f>
        <v/>
      </c>
      <c r="C331" s="103" t="str">
        <f t="shared" si="25"/>
        <v/>
      </c>
      <c r="D331" s="59" t="str">
        <f t="shared" si="26"/>
        <v/>
      </c>
      <c r="E331" s="68"/>
      <c r="F331" s="106" t="str">
        <f t="shared" si="27"/>
        <v/>
      </c>
      <c r="G331" s="101"/>
      <c r="H331" s="101"/>
      <c r="I331" s="101"/>
      <c r="J331" s="68"/>
      <c r="L331" t="str">
        <f t="shared" si="28"/>
        <v/>
      </c>
      <c r="M331" t="str">
        <f t="shared" si="29"/>
        <v/>
      </c>
    </row>
    <row r="332" spans="1:13">
      <c r="A332" s="60" t="str">
        <f>IF(E332="","",VLOOKUP('OPĆI DIO'!$C$3,'OPĆI DIO'!$L$6:$U$138,10,FALSE))</f>
        <v/>
      </c>
      <c r="B332" s="60" t="str">
        <f>IF(E332="","",VLOOKUP('OPĆI DIO'!$C$3,'OPĆI DIO'!$L$6:$U$138,9,FALSE))</f>
        <v/>
      </c>
      <c r="C332" s="103" t="str">
        <f t="shared" si="25"/>
        <v/>
      </c>
      <c r="D332" s="59" t="str">
        <f t="shared" si="26"/>
        <v/>
      </c>
      <c r="E332" s="68"/>
      <c r="F332" s="106" t="str">
        <f t="shared" si="27"/>
        <v/>
      </c>
      <c r="G332" s="101"/>
      <c r="H332" s="101"/>
      <c r="I332" s="101"/>
      <c r="J332" s="68"/>
      <c r="L332" t="str">
        <f t="shared" si="28"/>
        <v/>
      </c>
      <c r="M332" t="str">
        <f t="shared" si="29"/>
        <v/>
      </c>
    </row>
    <row r="333" spans="1:13">
      <c r="A333" s="60" t="str">
        <f>IF(E333="","",VLOOKUP('OPĆI DIO'!$C$3,'OPĆI DIO'!$L$6:$U$138,10,FALSE))</f>
        <v/>
      </c>
      <c r="B333" s="60" t="str">
        <f>IF(E333="","",VLOOKUP('OPĆI DIO'!$C$3,'OPĆI DIO'!$L$6:$U$138,9,FALSE))</f>
        <v/>
      </c>
      <c r="C333" s="103" t="str">
        <f t="shared" si="25"/>
        <v/>
      </c>
      <c r="D333" s="59" t="str">
        <f t="shared" si="26"/>
        <v/>
      </c>
      <c r="E333" s="68"/>
      <c r="F333" s="106" t="str">
        <f t="shared" si="27"/>
        <v/>
      </c>
      <c r="G333" s="101"/>
      <c r="H333" s="101"/>
      <c r="I333" s="101"/>
      <c r="J333" s="68"/>
      <c r="L333" t="str">
        <f t="shared" si="28"/>
        <v/>
      </c>
      <c r="M333" t="str">
        <f t="shared" si="29"/>
        <v/>
      </c>
    </row>
    <row r="334" spans="1:13">
      <c r="A334" s="60" t="str">
        <f>IF(E334="","",VLOOKUP('OPĆI DIO'!$C$3,'OPĆI DIO'!$L$6:$U$138,10,FALSE))</f>
        <v/>
      </c>
      <c r="B334" s="60" t="str">
        <f>IF(E334="","",VLOOKUP('OPĆI DIO'!$C$3,'OPĆI DIO'!$L$6:$U$138,9,FALSE))</f>
        <v/>
      </c>
      <c r="C334" s="103" t="str">
        <f t="shared" si="25"/>
        <v/>
      </c>
      <c r="D334" s="59" t="str">
        <f t="shared" si="26"/>
        <v/>
      </c>
      <c r="E334" s="68"/>
      <c r="F334" s="106" t="str">
        <f t="shared" si="27"/>
        <v/>
      </c>
      <c r="G334" s="101"/>
      <c r="H334" s="101"/>
      <c r="I334" s="101"/>
      <c r="J334" s="68"/>
      <c r="L334" t="str">
        <f t="shared" si="28"/>
        <v/>
      </c>
      <c r="M334" t="str">
        <f t="shared" si="29"/>
        <v/>
      </c>
    </row>
    <row r="335" spans="1:13">
      <c r="A335" s="60" t="str">
        <f>IF(E335="","",VLOOKUP('OPĆI DIO'!$C$3,'OPĆI DIO'!$L$6:$U$138,10,FALSE))</f>
        <v/>
      </c>
      <c r="B335" s="60" t="str">
        <f>IF(E335="","",VLOOKUP('OPĆI DIO'!$C$3,'OPĆI DIO'!$L$6:$U$138,9,FALSE))</f>
        <v/>
      </c>
      <c r="C335" s="103" t="str">
        <f t="shared" si="25"/>
        <v/>
      </c>
      <c r="D335" s="59" t="str">
        <f t="shared" si="26"/>
        <v/>
      </c>
      <c r="E335" s="68"/>
      <c r="F335" s="106" t="str">
        <f t="shared" si="27"/>
        <v/>
      </c>
      <c r="G335" s="101"/>
      <c r="H335" s="101"/>
      <c r="I335" s="101"/>
      <c r="J335" s="68"/>
      <c r="L335" t="str">
        <f t="shared" si="28"/>
        <v/>
      </c>
      <c r="M335" t="str">
        <f t="shared" si="29"/>
        <v/>
      </c>
    </row>
    <row r="336" spans="1:13">
      <c r="A336" s="60" t="str">
        <f>IF(E336="","",VLOOKUP('OPĆI DIO'!$C$3,'OPĆI DIO'!$L$6:$U$138,10,FALSE))</f>
        <v/>
      </c>
      <c r="B336" s="60" t="str">
        <f>IF(E336="","",VLOOKUP('OPĆI DIO'!$C$3,'OPĆI DIO'!$L$6:$U$138,9,FALSE))</f>
        <v/>
      </c>
      <c r="C336" s="103" t="str">
        <f t="shared" si="25"/>
        <v/>
      </c>
      <c r="D336" s="59" t="str">
        <f t="shared" si="26"/>
        <v/>
      </c>
      <c r="E336" s="68"/>
      <c r="F336" s="106" t="str">
        <f t="shared" si="27"/>
        <v/>
      </c>
      <c r="G336" s="101"/>
      <c r="H336" s="101"/>
      <c r="I336" s="101"/>
      <c r="J336" s="68"/>
      <c r="L336" t="str">
        <f t="shared" si="28"/>
        <v/>
      </c>
      <c r="M336" t="str">
        <f t="shared" si="29"/>
        <v/>
      </c>
    </row>
    <row r="337" spans="1:13">
      <c r="A337" s="60" t="str">
        <f>IF(E337="","",VLOOKUP('OPĆI DIO'!$C$3,'OPĆI DIO'!$L$6:$U$138,10,FALSE))</f>
        <v/>
      </c>
      <c r="B337" s="60" t="str">
        <f>IF(E337="","",VLOOKUP('OPĆI DIO'!$C$3,'OPĆI DIO'!$L$6:$U$138,9,FALSE))</f>
        <v/>
      </c>
      <c r="C337" s="103" t="str">
        <f t="shared" si="25"/>
        <v/>
      </c>
      <c r="D337" s="59" t="str">
        <f t="shared" si="26"/>
        <v/>
      </c>
      <c r="E337" s="68"/>
      <c r="F337" s="106" t="str">
        <f t="shared" si="27"/>
        <v/>
      </c>
      <c r="G337" s="101"/>
      <c r="H337" s="101"/>
      <c r="I337" s="101"/>
      <c r="J337" s="68"/>
      <c r="L337" t="str">
        <f t="shared" si="28"/>
        <v/>
      </c>
      <c r="M337" t="str">
        <f t="shared" si="29"/>
        <v/>
      </c>
    </row>
    <row r="338" spans="1:13">
      <c r="A338" s="60" t="str">
        <f>IF(E338="","",VLOOKUP('OPĆI DIO'!$C$3,'OPĆI DIO'!$L$6:$U$138,10,FALSE))</f>
        <v/>
      </c>
      <c r="B338" s="60" t="str">
        <f>IF(E338="","",VLOOKUP('OPĆI DIO'!$C$3,'OPĆI DIO'!$L$6:$U$138,9,FALSE))</f>
        <v/>
      </c>
      <c r="C338" s="103" t="str">
        <f t="shared" si="25"/>
        <v/>
      </c>
      <c r="D338" s="59" t="str">
        <f t="shared" si="26"/>
        <v/>
      </c>
      <c r="E338" s="68"/>
      <c r="F338" s="106" t="str">
        <f t="shared" si="27"/>
        <v/>
      </c>
      <c r="G338" s="101"/>
      <c r="H338" s="101"/>
      <c r="I338" s="101"/>
      <c r="J338" s="68"/>
      <c r="L338" t="str">
        <f t="shared" si="28"/>
        <v/>
      </c>
      <c r="M338" t="str">
        <f t="shared" si="29"/>
        <v/>
      </c>
    </row>
    <row r="339" spans="1:13">
      <c r="A339" s="60" t="str">
        <f>IF(E339="","",VLOOKUP('OPĆI DIO'!$C$3,'OPĆI DIO'!$L$6:$U$138,10,FALSE))</f>
        <v/>
      </c>
      <c r="B339" s="60" t="str">
        <f>IF(E339="","",VLOOKUP('OPĆI DIO'!$C$3,'OPĆI DIO'!$L$6:$U$138,9,FALSE))</f>
        <v/>
      </c>
      <c r="C339" s="103" t="str">
        <f t="shared" si="25"/>
        <v/>
      </c>
      <c r="D339" s="59" t="str">
        <f t="shared" si="26"/>
        <v/>
      </c>
      <c r="E339" s="68"/>
      <c r="F339" s="106" t="str">
        <f t="shared" si="27"/>
        <v/>
      </c>
      <c r="G339" s="101"/>
      <c r="H339" s="101"/>
      <c r="I339" s="101"/>
      <c r="J339" s="68"/>
      <c r="L339" t="str">
        <f t="shared" si="28"/>
        <v/>
      </c>
      <c r="M339" t="str">
        <f t="shared" si="29"/>
        <v/>
      </c>
    </row>
    <row r="340" spans="1:13">
      <c r="A340" s="60" t="str">
        <f>IF(E340="","",VLOOKUP('OPĆI DIO'!$C$3,'OPĆI DIO'!$L$6:$U$138,10,FALSE))</f>
        <v/>
      </c>
      <c r="B340" s="60" t="str">
        <f>IF(E340="","",VLOOKUP('OPĆI DIO'!$C$3,'OPĆI DIO'!$L$6:$U$138,9,FALSE))</f>
        <v/>
      </c>
      <c r="C340" s="103" t="str">
        <f t="shared" si="25"/>
        <v/>
      </c>
      <c r="D340" s="59" t="str">
        <f t="shared" si="26"/>
        <v/>
      </c>
      <c r="E340" s="68"/>
      <c r="F340" s="106" t="str">
        <f t="shared" si="27"/>
        <v/>
      </c>
      <c r="G340" s="101"/>
      <c r="H340" s="101"/>
      <c r="I340" s="101"/>
      <c r="J340" s="68"/>
      <c r="L340" t="str">
        <f t="shared" si="28"/>
        <v/>
      </c>
      <c r="M340" t="str">
        <f t="shared" si="29"/>
        <v/>
      </c>
    </row>
    <row r="341" spans="1:13">
      <c r="A341" s="60" t="str">
        <f>IF(E341="","",VLOOKUP('OPĆI DIO'!$C$3,'OPĆI DIO'!$L$6:$U$138,10,FALSE))</f>
        <v/>
      </c>
      <c r="B341" s="60" t="str">
        <f>IF(E341="","",VLOOKUP('OPĆI DIO'!$C$3,'OPĆI DIO'!$L$6:$U$138,9,FALSE))</f>
        <v/>
      </c>
      <c r="C341" s="103" t="str">
        <f t="shared" si="25"/>
        <v/>
      </c>
      <c r="D341" s="59" t="str">
        <f t="shared" si="26"/>
        <v/>
      </c>
      <c r="E341" s="68"/>
      <c r="F341" s="106" t="str">
        <f t="shared" si="27"/>
        <v/>
      </c>
      <c r="G341" s="101"/>
      <c r="H341" s="101"/>
      <c r="I341" s="101"/>
      <c r="J341" s="68"/>
      <c r="L341" t="str">
        <f t="shared" si="28"/>
        <v/>
      </c>
      <c r="M341" t="str">
        <f t="shared" si="29"/>
        <v/>
      </c>
    </row>
    <row r="342" spans="1:13">
      <c r="A342" s="60" t="str">
        <f>IF(E342="","",VLOOKUP('OPĆI DIO'!$C$3,'OPĆI DIO'!$L$6:$U$138,10,FALSE))</f>
        <v/>
      </c>
      <c r="B342" s="60" t="str">
        <f>IF(E342="","",VLOOKUP('OPĆI DIO'!$C$3,'OPĆI DIO'!$L$6:$U$138,9,FALSE))</f>
        <v/>
      </c>
      <c r="C342" s="103" t="str">
        <f t="shared" si="25"/>
        <v/>
      </c>
      <c r="D342" s="59" t="str">
        <f t="shared" si="26"/>
        <v/>
      </c>
      <c r="E342" s="68"/>
      <c r="F342" s="106" t="str">
        <f t="shared" si="27"/>
        <v/>
      </c>
      <c r="G342" s="101"/>
      <c r="H342" s="101"/>
      <c r="I342" s="101"/>
      <c r="J342" s="68"/>
      <c r="L342" t="str">
        <f t="shared" si="28"/>
        <v/>
      </c>
      <c r="M342" t="str">
        <f t="shared" si="29"/>
        <v/>
      </c>
    </row>
    <row r="343" spans="1:13">
      <c r="A343" s="60" t="str">
        <f>IF(E343="","",VLOOKUP('OPĆI DIO'!$C$3,'OPĆI DIO'!$L$6:$U$138,10,FALSE))</f>
        <v/>
      </c>
      <c r="B343" s="60" t="str">
        <f>IF(E343="","",VLOOKUP('OPĆI DIO'!$C$3,'OPĆI DIO'!$L$6:$U$138,9,FALSE))</f>
        <v/>
      </c>
      <c r="C343" s="103" t="str">
        <f t="shared" si="25"/>
        <v/>
      </c>
      <c r="D343" s="59" t="str">
        <f t="shared" si="26"/>
        <v/>
      </c>
      <c r="E343" s="68"/>
      <c r="F343" s="106" t="str">
        <f t="shared" si="27"/>
        <v/>
      </c>
      <c r="G343" s="101"/>
      <c r="H343" s="101"/>
      <c r="I343" s="101"/>
      <c r="J343" s="68"/>
      <c r="L343" t="str">
        <f t="shared" si="28"/>
        <v/>
      </c>
      <c r="M343" t="str">
        <f t="shared" si="29"/>
        <v/>
      </c>
    </row>
    <row r="344" spans="1:13">
      <c r="A344" s="60" t="str">
        <f>IF(E344="","",VLOOKUP('OPĆI DIO'!$C$3,'OPĆI DIO'!$L$6:$U$138,10,FALSE))</f>
        <v/>
      </c>
      <c r="B344" s="60" t="str">
        <f>IF(E344="","",VLOOKUP('OPĆI DIO'!$C$3,'OPĆI DIO'!$L$6:$U$138,9,FALSE))</f>
        <v/>
      </c>
      <c r="C344" s="103" t="str">
        <f t="shared" si="25"/>
        <v/>
      </c>
      <c r="D344" s="59" t="str">
        <f t="shared" si="26"/>
        <v/>
      </c>
      <c r="E344" s="68"/>
      <c r="F344" s="106" t="str">
        <f t="shared" si="27"/>
        <v/>
      </c>
      <c r="G344" s="101"/>
      <c r="H344" s="101"/>
      <c r="I344" s="101"/>
      <c r="J344" s="68"/>
      <c r="L344" t="str">
        <f t="shared" si="28"/>
        <v/>
      </c>
      <c r="M344" t="str">
        <f t="shared" si="29"/>
        <v/>
      </c>
    </row>
    <row r="345" spans="1:13">
      <c r="A345" s="60" t="str">
        <f>IF(E345="","",VLOOKUP('OPĆI DIO'!$C$3,'OPĆI DIO'!$L$6:$U$138,10,FALSE))</f>
        <v/>
      </c>
      <c r="B345" s="60" t="str">
        <f>IF(E345="","",VLOOKUP('OPĆI DIO'!$C$3,'OPĆI DIO'!$L$6:$U$138,9,FALSE))</f>
        <v/>
      </c>
      <c r="C345" s="103" t="str">
        <f t="shared" si="25"/>
        <v/>
      </c>
      <c r="D345" s="59" t="str">
        <f t="shared" si="26"/>
        <v/>
      </c>
      <c r="E345" s="68"/>
      <c r="F345" s="106" t="str">
        <f t="shared" si="27"/>
        <v/>
      </c>
      <c r="G345" s="101"/>
      <c r="H345" s="101"/>
      <c r="I345" s="101"/>
      <c r="J345" s="68"/>
      <c r="L345" t="str">
        <f t="shared" si="28"/>
        <v/>
      </c>
      <c r="M345" t="str">
        <f t="shared" si="29"/>
        <v/>
      </c>
    </row>
    <row r="346" spans="1:13">
      <c r="A346" s="60" t="str">
        <f>IF(E346="","",VLOOKUP('OPĆI DIO'!$C$3,'OPĆI DIO'!$L$6:$U$138,10,FALSE))</f>
        <v/>
      </c>
      <c r="B346" s="60" t="str">
        <f>IF(E346="","",VLOOKUP('OPĆI DIO'!$C$3,'OPĆI DIO'!$L$6:$U$138,9,FALSE))</f>
        <v/>
      </c>
      <c r="C346" s="103" t="str">
        <f t="shared" si="25"/>
        <v/>
      </c>
      <c r="D346" s="59" t="str">
        <f t="shared" si="26"/>
        <v/>
      </c>
      <c r="E346" s="68"/>
      <c r="F346" s="106" t="str">
        <f t="shared" si="27"/>
        <v/>
      </c>
      <c r="G346" s="101"/>
      <c r="H346" s="101"/>
      <c r="I346" s="101"/>
      <c r="J346" s="68"/>
      <c r="L346" t="str">
        <f t="shared" si="28"/>
        <v/>
      </c>
      <c r="M346" t="str">
        <f t="shared" si="29"/>
        <v/>
      </c>
    </row>
    <row r="347" spans="1:13">
      <c r="A347" s="60" t="str">
        <f>IF(E347="","",VLOOKUP('OPĆI DIO'!$C$3,'OPĆI DIO'!$L$6:$U$138,10,FALSE))</f>
        <v/>
      </c>
      <c r="B347" s="60" t="str">
        <f>IF(E347="","",VLOOKUP('OPĆI DIO'!$C$3,'OPĆI DIO'!$L$6:$U$138,9,FALSE))</f>
        <v/>
      </c>
      <c r="C347" s="103" t="str">
        <f t="shared" si="25"/>
        <v/>
      </c>
      <c r="D347" s="59" t="str">
        <f t="shared" si="26"/>
        <v/>
      </c>
      <c r="E347" s="68"/>
      <c r="F347" s="106" t="str">
        <f t="shared" si="27"/>
        <v/>
      </c>
      <c r="G347" s="101"/>
      <c r="H347" s="101"/>
      <c r="I347" s="101"/>
      <c r="J347" s="68"/>
      <c r="L347" t="str">
        <f t="shared" si="28"/>
        <v/>
      </c>
      <c r="M347" t="str">
        <f t="shared" si="29"/>
        <v/>
      </c>
    </row>
    <row r="348" spans="1:13">
      <c r="A348" s="60" t="str">
        <f>IF(E348="","",VLOOKUP('OPĆI DIO'!$C$3,'OPĆI DIO'!$L$6:$U$138,10,FALSE))</f>
        <v/>
      </c>
      <c r="B348" s="60" t="str">
        <f>IF(E348="","",VLOOKUP('OPĆI DIO'!$C$3,'OPĆI DIO'!$L$6:$U$138,9,FALSE))</f>
        <v/>
      </c>
      <c r="C348" s="103" t="str">
        <f t="shared" si="25"/>
        <v/>
      </c>
      <c r="D348" s="59" t="str">
        <f t="shared" si="26"/>
        <v/>
      </c>
      <c r="E348" s="68"/>
      <c r="F348" s="106" t="str">
        <f t="shared" si="27"/>
        <v/>
      </c>
      <c r="G348" s="101"/>
      <c r="H348" s="101"/>
      <c r="I348" s="101"/>
      <c r="J348" s="68"/>
      <c r="L348" t="str">
        <f t="shared" si="28"/>
        <v/>
      </c>
      <c r="M348" t="str">
        <f t="shared" si="29"/>
        <v/>
      </c>
    </row>
    <row r="349" spans="1:13">
      <c r="A349" s="60" t="str">
        <f>IF(E349="","",VLOOKUP('OPĆI DIO'!$C$3,'OPĆI DIO'!$L$6:$U$138,10,FALSE))</f>
        <v/>
      </c>
      <c r="B349" s="60" t="str">
        <f>IF(E349="","",VLOOKUP('OPĆI DIO'!$C$3,'OPĆI DIO'!$L$6:$U$138,9,FALSE))</f>
        <v/>
      </c>
      <c r="C349" s="103" t="str">
        <f t="shared" si="25"/>
        <v/>
      </c>
      <c r="D349" s="59" t="str">
        <f t="shared" si="26"/>
        <v/>
      </c>
      <c r="E349" s="68"/>
      <c r="F349" s="106" t="str">
        <f t="shared" si="27"/>
        <v/>
      </c>
      <c r="G349" s="101"/>
      <c r="H349" s="101"/>
      <c r="I349" s="101"/>
      <c r="J349" s="68"/>
      <c r="L349" t="str">
        <f t="shared" si="28"/>
        <v/>
      </c>
      <c r="M349" t="str">
        <f t="shared" si="29"/>
        <v/>
      </c>
    </row>
    <row r="350" spans="1:13">
      <c r="A350" s="60" t="str">
        <f>IF(E350="","",VLOOKUP('OPĆI DIO'!$C$3,'OPĆI DIO'!$L$6:$U$138,10,FALSE))</f>
        <v/>
      </c>
      <c r="B350" s="60" t="str">
        <f>IF(E350="","",VLOOKUP('OPĆI DIO'!$C$3,'OPĆI DIO'!$L$6:$U$138,9,FALSE))</f>
        <v/>
      </c>
      <c r="C350" s="103" t="str">
        <f t="shared" si="25"/>
        <v/>
      </c>
      <c r="D350" s="59" t="str">
        <f t="shared" si="26"/>
        <v/>
      </c>
      <c r="E350" s="68"/>
      <c r="F350" s="106" t="str">
        <f t="shared" si="27"/>
        <v/>
      </c>
      <c r="G350" s="101"/>
      <c r="H350" s="101"/>
      <c r="I350" s="101"/>
      <c r="J350" s="68"/>
      <c r="L350" t="str">
        <f t="shared" si="28"/>
        <v/>
      </c>
      <c r="M350" t="str">
        <f t="shared" si="29"/>
        <v/>
      </c>
    </row>
    <row r="351" spans="1:13">
      <c r="A351" s="60" t="str">
        <f>IF(E351="","",VLOOKUP('OPĆI DIO'!$C$3,'OPĆI DIO'!$L$6:$U$138,10,FALSE))</f>
        <v/>
      </c>
      <c r="B351" s="60" t="str">
        <f>IF(E351="","",VLOOKUP('OPĆI DIO'!$C$3,'OPĆI DIO'!$L$6:$U$138,9,FALSE))</f>
        <v/>
      </c>
      <c r="C351" s="103" t="str">
        <f t="shared" si="25"/>
        <v/>
      </c>
      <c r="D351" s="59" t="str">
        <f t="shared" si="26"/>
        <v/>
      </c>
      <c r="E351" s="68"/>
      <c r="F351" s="106" t="str">
        <f t="shared" si="27"/>
        <v/>
      </c>
      <c r="G351" s="101"/>
      <c r="H351" s="101"/>
      <c r="I351" s="101"/>
      <c r="J351" s="68"/>
      <c r="L351" t="str">
        <f t="shared" si="28"/>
        <v/>
      </c>
      <c r="M351" t="str">
        <f t="shared" si="29"/>
        <v/>
      </c>
    </row>
    <row r="352" spans="1:13">
      <c r="A352" s="60" t="str">
        <f>IF(E352="","",VLOOKUP('OPĆI DIO'!$C$3,'OPĆI DIO'!$L$6:$U$138,10,FALSE))</f>
        <v/>
      </c>
      <c r="B352" s="60" t="str">
        <f>IF(E352="","",VLOOKUP('OPĆI DIO'!$C$3,'OPĆI DIO'!$L$6:$U$138,9,FALSE))</f>
        <v/>
      </c>
      <c r="C352" s="103" t="str">
        <f t="shared" si="25"/>
        <v/>
      </c>
      <c r="D352" s="59" t="str">
        <f t="shared" si="26"/>
        <v/>
      </c>
      <c r="E352" s="68"/>
      <c r="F352" s="106" t="str">
        <f t="shared" si="27"/>
        <v/>
      </c>
      <c r="G352" s="101"/>
      <c r="H352" s="101"/>
      <c r="I352" s="101"/>
      <c r="J352" s="68"/>
      <c r="L352" t="str">
        <f t="shared" si="28"/>
        <v/>
      </c>
      <c r="M352" t="str">
        <f t="shared" si="29"/>
        <v/>
      </c>
    </row>
    <row r="353" spans="1:13">
      <c r="A353" s="60" t="str">
        <f>IF(E353="","",VLOOKUP('OPĆI DIO'!$C$3,'OPĆI DIO'!$L$6:$U$138,10,FALSE))</f>
        <v/>
      </c>
      <c r="B353" s="60" t="str">
        <f>IF(E353="","",VLOOKUP('OPĆI DIO'!$C$3,'OPĆI DIO'!$L$6:$U$138,9,FALSE))</f>
        <v/>
      </c>
      <c r="C353" s="103" t="str">
        <f t="shared" si="25"/>
        <v/>
      </c>
      <c r="D353" s="59" t="str">
        <f t="shared" si="26"/>
        <v/>
      </c>
      <c r="E353" s="68"/>
      <c r="F353" s="106" t="str">
        <f t="shared" si="27"/>
        <v/>
      </c>
      <c r="G353" s="101"/>
      <c r="H353" s="101"/>
      <c r="I353" s="101"/>
      <c r="J353" s="68"/>
      <c r="L353" t="str">
        <f t="shared" si="28"/>
        <v/>
      </c>
      <c r="M353" t="str">
        <f t="shared" si="29"/>
        <v/>
      </c>
    </row>
    <row r="354" spans="1:13">
      <c r="A354" s="60" t="str">
        <f>IF(E354="","",VLOOKUP('OPĆI DIO'!$C$3,'OPĆI DIO'!$L$6:$U$138,10,FALSE))</f>
        <v/>
      </c>
      <c r="B354" s="60" t="str">
        <f>IF(E354="","",VLOOKUP('OPĆI DIO'!$C$3,'OPĆI DIO'!$L$6:$U$138,9,FALSE))</f>
        <v/>
      </c>
      <c r="C354" s="103" t="str">
        <f t="shared" si="25"/>
        <v/>
      </c>
      <c r="D354" s="59" t="str">
        <f t="shared" si="26"/>
        <v/>
      </c>
      <c r="E354" s="68"/>
      <c r="F354" s="106" t="str">
        <f t="shared" si="27"/>
        <v/>
      </c>
      <c r="G354" s="101"/>
      <c r="H354" s="101"/>
      <c r="I354" s="101"/>
      <c r="J354" s="68"/>
      <c r="L354" t="str">
        <f t="shared" si="28"/>
        <v/>
      </c>
      <c r="M354" t="str">
        <f t="shared" si="29"/>
        <v/>
      </c>
    </row>
    <row r="355" spans="1:13">
      <c r="A355" s="60" t="str">
        <f>IF(E355="","",VLOOKUP('OPĆI DIO'!$C$3,'OPĆI DIO'!$L$6:$U$138,10,FALSE))</f>
        <v/>
      </c>
      <c r="B355" s="60" t="str">
        <f>IF(E355="","",VLOOKUP('OPĆI DIO'!$C$3,'OPĆI DIO'!$L$6:$U$138,9,FALSE))</f>
        <v/>
      </c>
      <c r="C355" s="103" t="str">
        <f t="shared" si="25"/>
        <v/>
      </c>
      <c r="D355" s="59" t="str">
        <f t="shared" si="26"/>
        <v/>
      </c>
      <c r="E355" s="68"/>
      <c r="F355" s="106" t="str">
        <f t="shared" si="27"/>
        <v/>
      </c>
      <c r="G355" s="101"/>
      <c r="H355" s="101"/>
      <c r="I355" s="101"/>
      <c r="J355" s="68"/>
      <c r="L355" t="str">
        <f t="shared" si="28"/>
        <v/>
      </c>
      <c r="M355" t="str">
        <f t="shared" si="29"/>
        <v/>
      </c>
    </row>
    <row r="356" spans="1:13">
      <c r="A356" s="60" t="str">
        <f>IF(E356="","",VLOOKUP('OPĆI DIO'!$C$3,'OPĆI DIO'!$L$6:$U$138,10,FALSE))</f>
        <v/>
      </c>
      <c r="B356" s="60" t="str">
        <f>IF(E356="","",VLOOKUP('OPĆI DIO'!$C$3,'OPĆI DIO'!$L$6:$U$138,9,FALSE))</f>
        <v/>
      </c>
      <c r="C356" s="103" t="str">
        <f t="shared" si="25"/>
        <v/>
      </c>
      <c r="D356" s="59" t="str">
        <f t="shared" si="26"/>
        <v/>
      </c>
      <c r="E356" s="68"/>
      <c r="F356" s="106" t="str">
        <f t="shared" si="27"/>
        <v/>
      </c>
      <c r="G356" s="101"/>
      <c r="H356" s="101"/>
      <c r="I356" s="101"/>
      <c r="J356" s="68"/>
      <c r="L356" t="str">
        <f t="shared" si="28"/>
        <v/>
      </c>
      <c r="M356" t="str">
        <f t="shared" si="29"/>
        <v/>
      </c>
    </row>
    <row r="357" spans="1:13">
      <c r="A357" s="60" t="str">
        <f>IF(E357="","",VLOOKUP('OPĆI DIO'!$C$3,'OPĆI DIO'!$L$6:$U$138,10,FALSE))</f>
        <v/>
      </c>
      <c r="B357" s="60" t="str">
        <f>IF(E357="","",VLOOKUP('OPĆI DIO'!$C$3,'OPĆI DIO'!$L$6:$U$138,9,FALSE))</f>
        <v/>
      </c>
      <c r="C357" s="103" t="str">
        <f t="shared" si="25"/>
        <v/>
      </c>
      <c r="D357" s="59" t="str">
        <f t="shared" si="26"/>
        <v/>
      </c>
      <c r="E357" s="68"/>
      <c r="F357" s="106" t="str">
        <f t="shared" si="27"/>
        <v/>
      </c>
      <c r="G357" s="101"/>
      <c r="H357" s="101"/>
      <c r="I357" s="101"/>
      <c r="J357" s="68"/>
      <c r="L357" t="str">
        <f t="shared" si="28"/>
        <v/>
      </c>
      <c r="M357" t="str">
        <f t="shared" si="29"/>
        <v/>
      </c>
    </row>
    <row r="358" spans="1:13">
      <c r="A358" s="60" t="str">
        <f>IF(E358="","",VLOOKUP('OPĆI DIO'!$C$3,'OPĆI DIO'!$L$6:$U$138,10,FALSE))</f>
        <v/>
      </c>
      <c r="B358" s="60" t="str">
        <f>IF(E358="","",VLOOKUP('OPĆI DIO'!$C$3,'OPĆI DIO'!$L$6:$U$138,9,FALSE))</f>
        <v/>
      </c>
      <c r="C358" s="103" t="str">
        <f t="shared" si="25"/>
        <v/>
      </c>
      <c r="D358" s="59" t="str">
        <f t="shared" si="26"/>
        <v/>
      </c>
      <c r="E358" s="68"/>
      <c r="F358" s="106" t="str">
        <f t="shared" si="27"/>
        <v/>
      </c>
      <c r="G358" s="101"/>
      <c r="H358" s="101"/>
      <c r="I358" s="101"/>
      <c r="J358" s="68"/>
      <c r="L358" t="str">
        <f t="shared" si="28"/>
        <v/>
      </c>
      <c r="M358" t="str">
        <f t="shared" si="29"/>
        <v/>
      </c>
    </row>
    <row r="359" spans="1:13">
      <c r="A359" s="60" t="str">
        <f>IF(E359="","",VLOOKUP('OPĆI DIO'!$C$3,'OPĆI DIO'!$L$6:$U$138,10,FALSE))</f>
        <v/>
      </c>
      <c r="B359" s="60" t="str">
        <f>IF(E359="","",VLOOKUP('OPĆI DIO'!$C$3,'OPĆI DIO'!$L$6:$U$138,9,FALSE))</f>
        <v/>
      </c>
      <c r="C359" s="103" t="str">
        <f t="shared" si="25"/>
        <v/>
      </c>
      <c r="D359" s="59" t="str">
        <f t="shared" si="26"/>
        <v/>
      </c>
      <c r="E359" s="68"/>
      <c r="F359" s="106" t="str">
        <f t="shared" si="27"/>
        <v/>
      </c>
      <c r="G359" s="101"/>
      <c r="H359" s="101"/>
      <c r="I359" s="101"/>
      <c r="J359" s="68"/>
      <c r="L359" t="str">
        <f t="shared" si="28"/>
        <v/>
      </c>
      <c r="M359" t="str">
        <f t="shared" si="29"/>
        <v/>
      </c>
    </row>
    <row r="360" spans="1:13">
      <c r="A360" s="60" t="str">
        <f>IF(E360="","",VLOOKUP('OPĆI DIO'!$C$3,'OPĆI DIO'!$L$6:$U$138,10,FALSE))</f>
        <v/>
      </c>
      <c r="B360" s="60" t="str">
        <f>IF(E360="","",VLOOKUP('OPĆI DIO'!$C$3,'OPĆI DIO'!$L$6:$U$138,9,FALSE))</f>
        <v/>
      </c>
      <c r="C360" s="103" t="str">
        <f t="shared" si="25"/>
        <v/>
      </c>
      <c r="D360" s="59" t="str">
        <f t="shared" si="26"/>
        <v/>
      </c>
      <c r="E360" s="68"/>
      <c r="F360" s="106" t="str">
        <f t="shared" si="27"/>
        <v/>
      </c>
      <c r="G360" s="101"/>
      <c r="H360" s="101"/>
      <c r="I360" s="101"/>
      <c r="J360" s="68"/>
      <c r="L360" t="str">
        <f t="shared" si="28"/>
        <v/>
      </c>
      <c r="M360" t="str">
        <f t="shared" si="29"/>
        <v/>
      </c>
    </row>
    <row r="361" spans="1:13">
      <c r="A361" s="60" t="str">
        <f>IF(E361="","",VLOOKUP('OPĆI DIO'!$C$3,'OPĆI DIO'!$L$6:$U$138,10,FALSE))</f>
        <v/>
      </c>
      <c r="B361" s="60" t="str">
        <f>IF(E361="","",VLOOKUP('OPĆI DIO'!$C$3,'OPĆI DIO'!$L$6:$U$138,9,FALSE))</f>
        <v/>
      </c>
      <c r="C361" s="103" t="str">
        <f t="shared" si="25"/>
        <v/>
      </c>
      <c r="D361" s="59" t="str">
        <f t="shared" si="26"/>
        <v/>
      </c>
      <c r="E361" s="68"/>
      <c r="F361" s="106" t="str">
        <f t="shared" si="27"/>
        <v/>
      </c>
      <c r="G361" s="101"/>
      <c r="H361" s="101"/>
      <c r="I361" s="101"/>
      <c r="J361" s="68"/>
      <c r="L361" t="str">
        <f t="shared" si="28"/>
        <v/>
      </c>
      <c r="M361" t="str">
        <f t="shared" si="29"/>
        <v/>
      </c>
    </row>
    <row r="362" spans="1:13">
      <c r="A362" s="60" t="str">
        <f>IF(E362="","",VLOOKUP('OPĆI DIO'!$C$3,'OPĆI DIO'!$L$6:$U$138,10,FALSE))</f>
        <v/>
      </c>
      <c r="B362" s="60" t="str">
        <f>IF(E362="","",VLOOKUP('OPĆI DIO'!$C$3,'OPĆI DIO'!$L$6:$U$138,9,FALSE))</f>
        <v/>
      </c>
      <c r="C362" s="103" t="str">
        <f t="shared" si="25"/>
        <v/>
      </c>
      <c r="D362" s="59" t="str">
        <f t="shared" si="26"/>
        <v/>
      </c>
      <c r="E362" s="68"/>
      <c r="F362" s="106" t="str">
        <f t="shared" si="27"/>
        <v/>
      </c>
      <c r="G362" s="101"/>
      <c r="H362" s="101"/>
      <c r="I362" s="101"/>
      <c r="J362" s="68"/>
      <c r="L362" t="str">
        <f t="shared" si="28"/>
        <v/>
      </c>
      <c r="M362" t="str">
        <f t="shared" si="29"/>
        <v/>
      </c>
    </row>
    <row r="363" spans="1:13">
      <c r="A363" s="60" t="str">
        <f>IF(E363="","",VLOOKUP('OPĆI DIO'!$C$3,'OPĆI DIO'!$L$6:$U$138,10,FALSE))</f>
        <v/>
      </c>
      <c r="B363" s="60" t="str">
        <f>IF(E363="","",VLOOKUP('OPĆI DIO'!$C$3,'OPĆI DIO'!$L$6:$U$138,9,FALSE))</f>
        <v/>
      </c>
      <c r="C363" s="103" t="str">
        <f t="shared" si="25"/>
        <v/>
      </c>
      <c r="D363" s="59" t="str">
        <f t="shared" si="26"/>
        <v/>
      </c>
      <c r="E363" s="68"/>
      <c r="F363" s="106" t="str">
        <f t="shared" si="27"/>
        <v/>
      </c>
      <c r="G363" s="101"/>
      <c r="H363" s="101"/>
      <c r="I363" s="101"/>
      <c r="J363" s="68"/>
      <c r="L363" t="str">
        <f t="shared" si="28"/>
        <v/>
      </c>
      <c r="M363" t="str">
        <f t="shared" si="29"/>
        <v/>
      </c>
    </row>
    <row r="364" spans="1:13">
      <c r="A364" s="60" t="str">
        <f>IF(E364="","",VLOOKUP('OPĆI DIO'!$C$3,'OPĆI DIO'!$L$6:$U$138,10,FALSE))</f>
        <v/>
      </c>
      <c r="B364" s="60" t="str">
        <f>IF(E364="","",VLOOKUP('OPĆI DIO'!$C$3,'OPĆI DIO'!$L$6:$U$138,9,FALSE))</f>
        <v/>
      </c>
      <c r="C364" s="103" t="str">
        <f t="shared" si="25"/>
        <v/>
      </c>
      <c r="D364" s="59" t="str">
        <f t="shared" si="26"/>
        <v/>
      </c>
      <c r="E364" s="68"/>
      <c r="F364" s="106" t="str">
        <f t="shared" si="27"/>
        <v/>
      </c>
      <c r="G364" s="101"/>
      <c r="H364" s="101"/>
      <c r="I364" s="101"/>
      <c r="J364" s="68"/>
      <c r="L364" t="str">
        <f t="shared" si="28"/>
        <v/>
      </c>
      <c r="M364" t="str">
        <f t="shared" si="29"/>
        <v/>
      </c>
    </row>
    <row r="365" spans="1:13">
      <c r="A365" s="60" t="str">
        <f>IF(E365="","",VLOOKUP('OPĆI DIO'!$C$3,'OPĆI DIO'!$L$6:$U$138,10,FALSE))</f>
        <v/>
      </c>
      <c r="B365" s="60" t="str">
        <f>IF(E365="","",VLOOKUP('OPĆI DIO'!$C$3,'OPĆI DIO'!$L$6:$U$138,9,FALSE))</f>
        <v/>
      </c>
      <c r="C365" s="103" t="str">
        <f t="shared" si="25"/>
        <v/>
      </c>
      <c r="D365" s="59" t="str">
        <f t="shared" si="26"/>
        <v/>
      </c>
      <c r="E365" s="68"/>
      <c r="F365" s="106" t="str">
        <f t="shared" si="27"/>
        <v/>
      </c>
      <c r="G365" s="101"/>
      <c r="H365" s="101"/>
      <c r="I365" s="101"/>
      <c r="J365" s="68"/>
      <c r="L365" t="str">
        <f t="shared" si="28"/>
        <v/>
      </c>
      <c r="M365" t="str">
        <f t="shared" si="29"/>
        <v/>
      </c>
    </row>
    <row r="366" spans="1:13">
      <c r="A366" s="60" t="str">
        <f>IF(E366="","",VLOOKUP('OPĆI DIO'!$C$3,'OPĆI DIO'!$L$6:$U$138,10,FALSE))</f>
        <v/>
      </c>
      <c r="B366" s="60" t="str">
        <f>IF(E366="","",VLOOKUP('OPĆI DIO'!$C$3,'OPĆI DIO'!$L$6:$U$138,9,FALSE))</f>
        <v/>
      </c>
      <c r="C366" s="103" t="str">
        <f t="shared" si="25"/>
        <v/>
      </c>
      <c r="D366" s="59" t="str">
        <f t="shared" si="26"/>
        <v/>
      </c>
      <c r="E366" s="68"/>
      <c r="F366" s="106" t="str">
        <f t="shared" si="27"/>
        <v/>
      </c>
      <c r="G366" s="101"/>
      <c r="H366" s="101"/>
      <c r="I366" s="101"/>
      <c r="J366" s="68"/>
      <c r="L366" t="str">
        <f t="shared" si="28"/>
        <v/>
      </c>
      <c r="M366" t="str">
        <f t="shared" si="29"/>
        <v/>
      </c>
    </row>
    <row r="367" spans="1:13">
      <c r="A367" s="60" t="str">
        <f>IF(E367="","",VLOOKUP('OPĆI DIO'!$C$3,'OPĆI DIO'!$L$6:$U$138,10,FALSE))</f>
        <v/>
      </c>
      <c r="B367" s="60" t="str">
        <f>IF(E367="","",VLOOKUP('OPĆI DIO'!$C$3,'OPĆI DIO'!$L$6:$U$138,9,FALSE))</f>
        <v/>
      </c>
      <c r="C367" s="103" t="str">
        <f t="shared" si="25"/>
        <v/>
      </c>
      <c r="D367" s="59" t="str">
        <f t="shared" si="26"/>
        <v/>
      </c>
      <c r="E367" s="68"/>
      <c r="F367" s="106" t="str">
        <f t="shared" si="27"/>
        <v/>
      </c>
      <c r="G367" s="101"/>
      <c r="H367" s="101"/>
      <c r="I367" s="101"/>
      <c r="J367" s="68"/>
      <c r="L367" t="str">
        <f t="shared" si="28"/>
        <v/>
      </c>
      <c r="M367" t="str">
        <f t="shared" si="29"/>
        <v/>
      </c>
    </row>
    <row r="368" spans="1:13">
      <c r="A368" s="60" t="str">
        <f>IF(E368="","",VLOOKUP('OPĆI DIO'!$C$3,'OPĆI DIO'!$L$6:$U$138,10,FALSE))</f>
        <v/>
      </c>
      <c r="B368" s="60" t="str">
        <f>IF(E368="","",VLOOKUP('OPĆI DIO'!$C$3,'OPĆI DIO'!$L$6:$U$138,9,FALSE))</f>
        <v/>
      </c>
      <c r="C368" s="103" t="str">
        <f t="shared" si="25"/>
        <v/>
      </c>
      <c r="D368" s="59" t="str">
        <f t="shared" si="26"/>
        <v/>
      </c>
      <c r="E368" s="68"/>
      <c r="F368" s="106" t="str">
        <f t="shared" si="27"/>
        <v/>
      </c>
      <c r="G368" s="101"/>
      <c r="H368" s="101"/>
      <c r="I368" s="101"/>
      <c r="J368" s="68"/>
      <c r="L368" t="str">
        <f t="shared" si="28"/>
        <v/>
      </c>
      <c r="M368" t="str">
        <f t="shared" si="29"/>
        <v/>
      </c>
    </row>
    <row r="369" spans="1:13">
      <c r="A369" s="60" t="str">
        <f>IF(E369="","",VLOOKUP('OPĆI DIO'!$C$3,'OPĆI DIO'!$L$6:$U$138,10,FALSE))</f>
        <v/>
      </c>
      <c r="B369" s="60" t="str">
        <f>IF(E369="","",VLOOKUP('OPĆI DIO'!$C$3,'OPĆI DIO'!$L$6:$U$138,9,FALSE))</f>
        <v/>
      </c>
      <c r="C369" s="103" t="str">
        <f t="shared" si="25"/>
        <v/>
      </c>
      <c r="D369" s="59" t="str">
        <f t="shared" si="26"/>
        <v/>
      </c>
      <c r="E369" s="68"/>
      <c r="F369" s="106" t="str">
        <f t="shared" si="27"/>
        <v/>
      </c>
      <c r="G369" s="101"/>
      <c r="H369" s="101"/>
      <c r="I369" s="101"/>
      <c r="J369" s="68"/>
      <c r="L369" t="str">
        <f t="shared" si="28"/>
        <v/>
      </c>
      <c r="M369" t="str">
        <f t="shared" si="29"/>
        <v/>
      </c>
    </row>
    <row r="370" spans="1:13">
      <c r="A370" s="60" t="str">
        <f>IF(E370="","",VLOOKUP('OPĆI DIO'!$C$3,'OPĆI DIO'!$L$6:$U$138,10,FALSE))</f>
        <v/>
      </c>
      <c r="B370" s="60" t="str">
        <f>IF(E370="","",VLOOKUP('OPĆI DIO'!$C$3,'OPĆI DIO'!$L$6:$U$138,9,FALSE))</f>
        <v/>
      </c>
      <c r="C370" s="103" t="str">
        <f t="shared" si="25"/>
        <v/>
      </c>
      <c r="D370" s="59" t="str">
        <f t="shared" si="26"/>
        <v/>
      </c>
      <c r="E370" s="68"/>
      <c r="F370" s="106" t="str">
        <f t="shared" si="27"/>
        <v/>
      </c>
      <c r="G370" s="101"/>
      <c r="H370" s="101"/>
      <c r="I370" s="101"/>
      <c r="J370" s="68"/>
      <c r="L370" t="str">
        <f t="shared" si="28"/>
        <v/>
      </c>
      <c r="M370" t="str">
        <f t="shared" si="29"/>
        <v/>
      </c>
    </row>
    <row r="371" spans="1:13">
      <c r="A371" s="60" t="str">
        <f>IF(E371="","",VLOOKUP('OPĆI DIO'!$C$3,'OPĆI DIO'!$L$6:$U$138,10,FALSE))</f>
        <v/>
      </c>
      <c r="B371" s="60" t="str">
        <f>IF(E371="","",VLOOKUP('OPĆI DIO'!$C$3,'OPĆI DIO'!$L$6:$U$138,9,FALSE))</f>
        <v/>
      </c>
      <c r="C371" s="103" t="str">
        <f t="shared" si="25"/>
        <v/>
      </c>
      <c r="D371" s="59" t="str">
        <f t="shared" si="26"/>
        <v/>
      </c>
      <c r="E371" s="68"/>
      <c r="F371" s="106" t="str">
        <f t="shared" si="27"/>
        <v/>
      </c>
      <c r="G371" s="101"/>
      <c r="H371" s="101"/>
      <c r="I371" s="101"/>
      <c r="J371" s="68"/>
      <c r="L371" t="str">
        <f t="shared" si="28"/>
        <v/>
      </c>
      <c r="M371" t="str">
        <f t="shared" si="29"/>
        <v/>
      </c>
    </row>
    <row r="372" spans="1:13">
      <c r="A372" s="60" t="str">
        <f>IF(E372="","",VLOOKUP('OPĆI DIO'!$C$3,'OPĆI DIO'!$L$6:$U$138,10,FALSE))</f>
        <v/>
      </c>
      <c r="B372" s="60" t="str">
        <f>IF(E372="","",VLOOKUP('OPĆI DIO'!$C$3,'OPĆI DIO'!$L$6:$U$138,9,FALSE))</f>
        <v/>
      </c>
      <c r="C372" s="103" t="str">
        <f t="shared" si="25"/>
        <v/>
      </c>
      <c r="D372" s="59" t="str">
        <f t="shared" si="26"/>
        <v/>
      </c>
      <c r="E372" s="68"/>
      <c r="F372" s="106" t="str">
        <f t="shared" si="27"/>
        <v/>
      </c>
      <c r="G372" s="101"/>
      <c r="H372" s="101"/>
      <c r="I372" s="101"/>
      <c r="J372" s="68"/>
      <c r="L372" t="str">
        <f t="shared" si="28"/>
        <v/>
      </c>
      <c r="M372" t="str">
        <f t="shared" si="29"/>
        <v/>
      </c>
    </row>
    <row r="373" spans="1:13">
      <c r="A373" s="60" t="str">
        <f>IF(E373="","",VLOOKUP('OPĆI DIO'!$C$3,'OPĆI DIO'!$L$6:$U$138,10,FALSE))</f>
        <v/>
      </c>
      <c r="B373" s="60" t="str">
        <f>IF(E373="","",VLOOKUP('OPĆI DIO'!$C$3,'OPĆI DIO'!$L$6:$U$138,9,FALSE))</f>
        <v/>
      </c>
      <c r="C373" s="103" t="str">
        <f t="shared" si="25"/>
        <v/>
      </c>
      <c r="D373" s="59" t="str">
        <f t="shared" si="26"/>
        <v/>
      </c>
      <c r="E373" s="68"/>
      <c r="F373" s="106" t="str">
        <f t="shared" si="27"/>
        <v/>
      </c>
      <c r="G373" s="101"/>
      <c r="H373" s="101"/>
      <c r="I373" s="101"/>
      <c r="J373" s="68"/>
      <c r="L373" t="str">
        <f t="shared" si="28"/>
        <v/>
      </c>
      <c r="M373" t="str">
        <f t="shared" si="29"/>
        <v/>
      </c>
    </row>
    <row r="374" spans="1:13">
      <c r="A374" s="60" t="str">
        <f>IF(E374="","",VLOOKUP('OPĆI DIO'!$C$3,'OPĆI DIO'!$L$6:$U$138,10,FALSE))</f>
        <v/>
      </c>
      <c r="B374" s="60" t="str">
        <f>IF(E374="","",VLOOKUP('OPĆI DIO'!$C$3,'OPĆI DIO'!$L$6:$U$138,9,FALSE))</f>
        <v/>
      </c>
      <c r="C374" s="103" t="str">
        <f t="shared" si="25"/>
        <v/>
      </c>
      <c r="D374" s="59" t="str">
        <f t="shared" si="26"/>
        <v/>
      </c>
      <c r="E374" s="68"/>
      <c r="F374" s="106" t="str">
        <f t="shared" si="27"/>
        <v/>
      </c>
      <c r="G374" s="101"/>
      <c r="H374" s="101"/>
      <c r="I374" s="101"/>
      <c r="J374" s="68"/>
      <c r="L374" t="str">
        <f t="shared" si="28"/>
        <v/>
      </c>
      <c r="M374" t="str">
        <f t="shared" si="29"/>
        <v/>
      </c>
    </row>
    <row r="375" spans="1:13">
      <c r="A375" s="60" t="str">
        <f>IF(E375="","",VLOOKUP('OPĆI DIO'!$C$3,'OPĆI DIO'!$L$6:$U$138,10,FALSE))</f>
        <v/>
      </c>
      <c r="B375" s="60" t="str">
        <f>IF(E375="","",VLOOKUP('OPĆI DIO'!$C$3,'OPĆI DIO'!$L$6:$U$138,9,FALSE))</f>
        <v/>
      </c>
      <c r="C375" s="103" t="str">
        <f t="shared" si="25"/>
        <v/>
      </c>
      <c r="D375" s="59" t="str">
        <f t="shared" si="26"/>
        <v/>
      </c>
      <c r="E375" s="68"/>
      <c r="F375" s="106" t="str">
        <f t="shared" si="27"/>
        <v/>
      </c>
      <c r="G375" s="101"/>
      <c r="H375" s="101"/>
      <c r="I375" s="101"/>
      <c r="J375" s="68"/>
      <c r="L375" t="str">
        <f t="shared" si="28"/>
        <v/>
      </c>
      <c r="M375" t="str">
        <f t="shared" si="29"/>
        <v/>
      </c>
    </row>
    <row r="376" spans="1:13">
      <c r="A376" s="60" t="str">
        <f>IF(E376="","",VLOOKUP('OPĆI DIO'!$C$3,'OPĆI DIO'!$L$6:$U$138,10,FALSE))</f>
        <v/>
      </c>
      <c r="B376" s="60" t="str">
        <f>IF(E376="","",VLOOKUP('OPĆI DIO'!$C$3,'OPĆI DIO'!$L$6:$U$138,9,FALSE))</f>
        <v/>
      </c>
      <c r="C376" s="103" t="str">
        <f t="shared" si="25"/>
        <v/>
      </c>
      <c r="D376" s="59" t="str">
        <f t="shared" si="26"/>
        <v/>
      </c>
      <c r="E376" s="68"/>
      <c r="F376" s="106" t="str">
        <f t="shared" si="27"/>
        <v/>
      </c>
      <c r="G376" s="101"/>
      <c r="H376" s="101"/>
      <c r="I376" s="101"/>
      <c r="J376" s="68"/>
      <c r="L376" t="str">
        <f t="shared" si="28"/>
        <v/>
      </c>
      <c r="M376" t="str">
        <f t="shared" si="29"/>
        <v/>
      </c>
    </row>
    <row r="377" spans="1:13">
      <c r="A377" s="60" t="str">
        <f>IF(E377="","",VLOOKUP('OPĆI DIO'!$C$3,'OPĆI DIO'!$L$6:$U$138,10,FALSE))</f>
        <v/>
      </c>
      <c r="B377" s="60" t="str">
        <f>IF(E377="","",VLOOKUP('OPĆI DIO'!$C$3,'OPĆI DIO'!$L$6:$U$138,9,FALSE))</f>
        <v/>
      </c>
      <c r="C377" s="103" t="str">
        <f t="shared" si="25"/>
        <v/>
      </c>
      <c r="D377" s="59" t="str">
        <f t="shared" si="26"/>
        <v/>
      </c>
      <c r="E377" s="68"/>
      <c r="F377" s="106" t="str">
        <f t="shared" si="27"/>
        <v/>
      </c>
      <c r="G377" s="101"/>
      <c r="H377" s="101"/>
      <c r="I377" s="101"/>
      <c r="J377" s="68"/>
      <c r="L377" t="str">
        <f t="shared" si="28"/>
        <v/>
      </c>
      <c r="M377" t="str">
        <f t="shared" si="29"/>
        <v/>
      </c>
    </row>
    <row r="378" spans="1:13">
      <c r="A378" s="60" t="str">
        <f>IF(E378="","",VLOOKUP('OPĆI DIO'!$C$3,'OPĆI DIO'!$L$6:$U$138,10,FALSE))</f>
        <v/>
      </c>
      <c r="B378" s="60" t="str">
        <f>IF(E378="","",VLOOKUP('OPĆI DIO'!$C$3,'OPĆI DIO'!$L$6:$U$138,9,FALSE))</f>
        <v/>
      </c>
      <c r="C378" s="103" t="str">
        <f t="shared" si="25"/>
        <v/>
      </c>
      <c r="D378" s="59" t="str">
        <f t="shared" si="26"/>
        <v/>
      </c>
      <c r="E378" s="68"/>
      <c r="F378" s="106" t="str">
        <f t="shared" si="27"/>
        <v/>
      </c>
      <c r="G378" s="101"/>
      <c r="H378" s="101"/>
      <c r="I378" s="101"/>
      <c r="J378" s="68"/>
      <c r="L378" t="str">
        <f t="shared" si="28"/>
        <v/>
      </c>
      <c r="M378" t="str">
        <f t="shared" si="29"/>
        <v/>
      </c>
    </row>
    <row r="379" spans="1:13">
      <c r="A379" s="60" t="str">
        <f>IF(E379="","",VLOOKUP('OPĆI DIO'!$C$3,'OPĆI DIO'!$L$6:$U$138,10,FALSE))</f>
        <v/>
      </c>
      <c r="B379" s="60" t="str">
        <f>IF(E379="","",VLOOKUP('OPĆI DIO'!$C$3,'OPĆI DIO'!$L$6:$U$138,9,FALSE))</f>
        <v/>
      </c>
      <c r="C379" s="103" t="str">
        <f t="shared" si="25"/>
        <v/>
      </c>
      <c r="D379" s="59" t="str">
        <f t="shared" si="26"/>
        <v/>
      </c>
      <c r="E379" s="68"/>
      <c r="F379" s="106" t="str">
        <f t="shared" si="27"/>
        <v/>
      </c>
      <c r="G379" s="101"/>
      <c r="H379" s="101"/>
      <c r="I379" s="101"/>
      <c r="J379" s="68"/>
      <c r="L379" t="str">
        <f t="shared" si="28"/>
        <v/>
      </c>
      <c r="M379" t="str">
        <f t="shared" si="29"/>
        <v/>
      </c>
    </row>
    <row r="380" spans="1:13">
      <c r="A380" s="60" t="str">
        <f>IF(E380="","",VLOOKUP('OPĆI DIO'!$C$3,'OPĆI DIO'!$L$6:$U$138,10,FALSE))</f>
        <v/>
      </c>
      <c r="B380" s="60" t="str">
        <f>IF(E380="","",VLOOKUP('OPĆI DIO'!$C$3,'OPĆI DIO'!$L$6:$U$138,9,FALSE))</f>
        <v/>
      </c>
      <c r="C380" s="103" t="str">
        <f t="shared" si="25"/>
        <v/>
      </c>
      <c r="D380" s="59" t="str">
        <f t="shared" si="26"/>
        <v/>
      </c>
      <c r="E380" s="68"/>
      <c r="F380" s="106" t="str">
        <f t="shared" si="27"/>
        <v/>
      </c>
      <c r="G380" s="101"/>
      <c r="H380" s="101"/>
      <c r="I380" s="101"/>
      <c r="J380" s="68"/>
      <c r="L380" t="str">
        <f t="shared" si="28"/>
        <v/>
      </c>
      <c r="M380" t="str">
        <f t="shared" si="29"/>
        <v/>
      </c>
    </row>
    <row r="381" spans="1:13">
      <c r="A381" s="60" t="str">
        <f>IF(E381="","",VLOOKUP('OPĆI DIO'!$C$3,'OPĆI DIO'!$L$6:$U$138,10,FALSE))</f>
        <v/>
      </c>
      <c r="B381" s="60" t="str">
        <f>IF(E381="","",VLOOKUP('OPĆI DIO'!$C$3,'OPĆI DIO'!$L$6:$U$138,9,FALSE))</f>
        <v/>
      </c>
      <c r="C381" s="103" t="str">
        <f t="shared" si="25"/>
        <v/>
      </c>
      <c r="D381" s="59" t="str">
        <f t="shared" si="26"/>
        <v/>
      </c>
      <c r="E381" s="68"/>
      <c r="F381" s="106" t="str">
        <f t="shared" si="27"/>
        <v/>
      </c>
      <c r="G381" s="101"/>
      <c r="H381" s="101"/>
      <c r="I381" s="101"/>
      <c r="J381" s="68"/>
      <c r="L381" t="str">
        <f t="shared" si="28"/>
        <v/>
      </c>
      <c r="M381" t="str">
        <f t="shared" si="29"/>
        <v/>
      </c>
    </row>
    <row r="382" spans="1:13">
      <c r="A382" s="60" t="str">
        <f>IF(E382="","",VLOOKUP('OPĆI DIO'!$C$3,'OPĆI DIO'!$L$6:$U$138,10,FALSE))</f>
        <v/>
      </c>
      <c r="B382" s="60" t="str">
        <f>IF(E382="","",VLOOKUP('OPĆI DIO'!$C$3,'OPĆI DIO'!$L$6:$U$138,9,FALSE))</f>
        <v/>
      </c>
      <c r="C382" s="103" t="str">
        <f t="shared" si="25"/>
        <v/>
      </c>
      <c r="D382" s="59" t="str">
        <f t="shared" si="26"/>
        <v/>
      </c>
      <c r="E382" s="68"/>
      <c r="F382" s="106" t="str">
        <f t="shared" si="27"/>
        <v/>
      </c>
      <c r="G382" s="101"/>
      <c r="H382" s="101"/>
      <c r="I382" s="101"/>
      <c r="J382" s="68"/>
      <c r="L382" t="str">
        <f t="shared" si="28"/>
        <v/>
      </c>
      <c r="M382" t="str">
        <f t="shared" si="29"/>
        <v/>
      </c>
    </row>
    <row r="383" spans="1:13">
      <c r="A383" s="60" t="str">
        <f>IF(E383="","",VLOOKUP('OPĆI DIO'!$C$3,'OPĆI DIO'!$L$6:$U$138,10,FALSE))</f>
        <v/>
      </c>
      <c r="B383" s="60" t="str">
        <f>IF(E383="","",VLOOKUP('OPĆI DIO'!$C$3,'OPĆI DIO'!$L$6:$U$138,9,FALSE))</f>
        <v/>
      </c>
      <c r="C383" s="103" t="str">
        <f t="shared" si="25"/>
        <v/>
      </c>
      <c r="D383" s="59" t="str">
        <f t="shared" si="26"/>
        <v/>
      </c>
      <c r="E383" s="68"/>
      <c r="F383" s="106" t="str">
        <f t="shared" si="27"/>
        <v/>
      </c>
      <c r="G383" s="101"/>
      <c r="H383" s="101"/>
      <c r="I383" s="101"/>
      <c r="J383" s="68"/>
      <c r="L383" t="str">
        <f t="shared" si="28"/>
        <v/>
      </c>
      <c r="M383" t="str">
        <f t="shared" si="29"/>
        <v/>
      </c>
    </row>
    <row r="384" spans="1:13">
      <c r="A384" s="60" t="str">
        <f>IF(E384="","",VLOOKUP('OPĆI DIO'!$C$3,'OPĆI DIO'!$L$6:$U$138,10,FALSE))</f>
        <v/>
      </c>
      <c r="B384" s="60" t="str">
        <f>IF(E384="","",VLOOKUP('OPĆI DIO'!$C$3,'OPĆI DIO'!$L$6:$U$138,9,FALSE))</f>
        <v/>
      </c>
      <c r="C384" s="103" t="str">
        <f t="shared" si="25"/>
        <v/>
      </c>
      <c r="D384" s="59" t="str">
        <f t="shared" si="26"/>
        <v/>
      </c>
      <c r="E384" s="68"/>
      <c r="F384" s="106" t="str">
        <f t="shared" si="27"/>
        <v/>
      </c>
      <c r="G384" s="101"/>
      <c r="H384" s="101"/>
      <c r="I384" s="101"/>
      <c r="J384" s="68"/>
      <c r="L384" t="str">
        <f t="shared" si="28"/>
        <v/>
      </c>
      <c r="M384" t="str">
        <f t="shared" si="29"/>
        <v/>
      </c>
    </row>
    <row r="385" spans="1:13">
      <c r="A385" s="60" t="str">
        <f>IF(E385="","",VLOOKUP('OPĆI DIO'!$C$3,'OPĆI DIO'!$L$6:$U$138,10,FALSE))</f>
        <v/>
      </c>
      <c r="B385" s="60" t="str">
        <f>IF(E385="","",VLOOKUP('OPĆI DIO'!$C$3,'OPĆI DIO'!$L$6:$U$138,9,FALSE))</f>
        <v/>
      </c>
      <c r="C385" s="103" t="str">
        <f t="shared" si="25"/>
        <v/>
      </c>
      <c r="D385" s="59" t="str">
        <f t="shared" si="26"/>
        <v/>
      </c>
      <c r="E385" s="68"/>
      <c r="F385" s="106" t="str">
        <f t="shared" si="27"/>
        <v/>
      </c>
      <c r="G385" s="101"/>
      <c r="H385" s="101"/>
      <c r="I385" s="101"/>
      <c r="J385" s="68"/>
      <c r="L385" t="str">
        <f t="shared" si="28"/>
        <v/>
      </c>
      <c r="M385" t="str">
        <f t="shared" si="29"/>
        <v/>
      </c>
    </row>
    <row r="386" spans="1:13">
      <c r="A386" s="60" t="str">
        <f>IF(E386="","",VLOOKUP('OPĆI DIO'!$C$3,'OPĆI DIO'!$L$6:$U$138,10,FALSE))</f>
        <v/>
      </c>
      <c r="B386" s="60" t="str">
        <f>IF(E386="","",VLOOKUP('OPĆI DIO'!$C$3,'OPĆI DIO'!$L$6:$U$138,9,FALSE))</f>
        <v/>
      </c>
      <c r="C386" s="103" t="str">
        <f t="shared" si="25"/>
        <v/>
      </c>
      <c r="D386" s="59" t="str">
        <f t="shared" si="26"/>
        <v/>
      </c>
      <c r="E386" s="68"/>
      <c r="F386" s="106" t="str">
        <f t="shared" si="27"/>
        <v/>
      </c>
      <c r="G386" s="101"/>
      <c r="H386" s="101"/>
      <c r="I386" s="101"/>
      <c r="J386" s="68"/>
      <c r="L386" t="str">
        <f t="shared" si="28"/>
        <v/>
      </c>
      <c r="M386" t="str">
        <f t="shared" si="29"/>
        <v/>
      </c>
    </row>
    <row r="387" spans="1:13">
      <c r="A387" s="60" t="str">
        <f>IF(E387="","",VLOOKUP('OPĆI DIO'!$C$3,'OPĆI DIO'!$L$6:$U$138,10,FALSE))</f>
        <v/>
      </c>
      <c r="B387" s="60" t="str">
        <f>IF(E387="","",VLOOKUP('OPĆI DIO'!$C$3,'OPĆI DIO'!$L$6:$U$138,9,FALSE))</f>
        <v/>
      </c>
      <c r="C387" s="103" t="str">
        <f t="shared" ref="C387:C450" si="30">IFERROR(VLOOKUP(E387,$R$6:$U$113,3,FALSE),"")</f>
        <v/>
      </c>
      <c r="D387" s="59" t="str">
        <f t="shared" ref="D387:D450" si="31">IFERROR(VLOOKUP(E387,$R$6:$U$113,4,FALSE),"")</f>
        <v/>
      </c>
      <c r="E387" s="68"/>
      <c r="F387" s="106" t="str">
        <f t="shared" ref="F387:F450" si="32">IFERROR(VLOOKUP(E387,$R$6:$U$113,2,FALSE),"")</f>
        <v/>
      </c>
      <c r="G387" s="101"/>
      <c r="H387" s="101"/>
      <c r="I387" s="101"/>
      <c r="J387" s="68"/>
      <c r="L387" t="str">
        <f t="shared" si="28"/>
        <v/>
      </c>
      <c r="M387" t="str">
        <f t="shared" si="29"/>
        <v/>
      </c>
    </row>
    <row r="388" spans="1:13">
      <c r="A388" s="60" t="str">
        <f>IF(E388="","",VLOOKUP('OPĆI DIO'!$C$3,'OPĆI DIO'!$L$6:$U$138,10,FALSE))</f>
        <v/>
      </c>
      <c r="B388" s="60" t="str">
        <f>IF(E388="","",VLOOKUP('OPĆI DIO'!$C$3,'OPĆI DIO'!$L$6:$U$138,9,FALSE))</f>
        <v/>
      </c>
      <c r="C388" s="103" t="str">
        <f t="shared" si="30"/>
        <v/>
      </c>
      <c r="D388" s="59" t="str">
        <f t="shared" si="31"/>
        <v/>
      </c>
      <c r="E388" s="68"/>
      <c r="F388" s="106" t="str">
        <f t="shared" si="32"/>
        <v/>
      </c>
      <c r="G388" s="101"/>
      <c r="H388" s="101"/>
      <c r="I388" s="101"/>
      <c r="J388" s="68"/>
      <c r="L388" t="str">
        <f t="shared" ref="L388:L451" si="33">LEFT(E388,2)</f>
        <v/>
      </c>
      <c r="M388" t="str">
        <f t="shared" ref="M388:M451" si="34">LEFT(E388,3)</f>
        <v/>
      </c>
    </row>
    <row r="389" spans="1:13">
      <c r="A389" s="60" t="str">
        <f>IF(E389="","",VLOOKUP('OPĆI DIO'!$C$3,'OPĆI DIO'!$L$6:$U$138,10,FALSE))</f>
        <v/>
      </c>
      <c r="B389" s="60" t="str">
        <f>IF(E389="","",VLOOKUP('OPĆI DIO'!$C$3,'OPĆI DIO'!$L$6:$U$138,9,FALSE))</f>
        <v/>
      </c>
      <c r="C389" s="103" t="str">
        <f t="shared" si="30"/>
        <v/>
      </c>
      <c r="D389" s="59" t="str">
        <f t="shared" si="31"/>
        <v/>
      </c>
      <c r="E389" s="68"/>
      <c r="F389" s="106" t="str">
        <f t="shared" si="32"/>
        <v/>
      </c>
      <c r="G389" s="101"/>
      <c r="H389" s="101"/>
      <c r="I389" s="101"/>
      <c r="J389" s="68"/>
      <c r="L389" t="str">
        <f t="shared" si="33"/>
        <v/>
      </c>
      <c r="M389" t="str">
        <f t="shared" si="34"/>
        <v/>
      </c>
    </row>
    <row r="390" spans="1:13">
      <c r="A390" s="60" t="str">
        <f>IF(E390="","",VLOOKUP('OPĆI DIO'!$C$3,'OPĆI DIO'!$L$6:$U$138,10,FALSE))</f>
        <v/>
      </c>
      <c r="B390" s="60" t="str">
        <f>IF(E390="","",VLOOKUP('OPĆI DIO'!$C$3,'OPĆI DIO'!$L$6:$U$138,9,FALSE))</f>
        <v/>
      </c>
      <c r="C390" s="103" t="str">
        <f t="shared" si="30"/>
        <v/>
      </c>
      <c r="D390" s="59" t="str">
        <f t="shared" si="31"/>
        <v/>
      </c>
      <c r="E390" s="68"/>
      <c r="F390" s="106" t="str">
        <f t="shared" si="32"/>
        <v/>
      </c>
      <c r="G390" s="101"/>
      <c r="H390" s="101"/>
      <c r="I390" s="101"/>
      <c r="J390" s="68"/>
      <c r="L390" t="str">
        <f t="shared" si="33"/>
        <v/>
      </c>
      <c r="M390" t="str">
        <f t="shared" si="34"/>
        <v/>
      </c>
    </row>
    <row r="391" spans="1:13">
      <c r="A391" s="60" t="str">
        <f>IF(E391="","",VLOOKUP('OPĆI DIO'!$C$3,'OPĆI DIO'!$L$6:$U$138,10,FALSE))</f>
        <v/>
      </c>
      <c r="B391" s="60" t="str">
        <f>IF(E391="","",VLOOKUP('OPĆI DIO'!$C$3,'OPĆI DIO'!$L$6:$U$138,9,FALSE))</f>
        <v/>
      </c>
      <c r="C391" s="103" t="str">
        <f t="shared" si="30"/>
        <v/>
      </c>
      <c r="D391" s="59" t="str">
        <f t="shared" si="31"/>
        <v/>
      </c>
      <c r="E391" s="68"/>
      <c r="F391" s="106" t="str">
        <f t="shared" si="32"/>
        <v/>
      </c>
      <c r="G391" s="101"/>
      <c r="H391" s="101"/>
      <c r="I391" s="101"/>
      <c r="J391" s="68"/>
      <c r="L391" t="str">
        <f t="shared" si="33"/>
        <v/>
      </c>
      <c r="M391" t="str">
        <f t="shared" si="34"/>
        <v/>
      </c>
    </row>
    <row r="392" spans="1:13">
      <c r="A392" s="60" t="str">
        <f>IF(E392="","",VLOOKUP('OPĆI DIO'!$C$3,'OPĆI DIO'!$L$6:$U$138,10,FALSE))</f>
        <v/>
      </c>
      <c r="B392" s="60" t="str">
        <f>IF(E392="","",VLOOKUP('OPĆI DIO'!$C$3,'OPĆI DIO'!$L$6:$U$138,9,FALSE))</f>
        <v/>
      </c>
      <c r="C392" s="103" t="str">
        <f t="shared" si="30"/>
        <v/>
      </c>
      <c r="D392" s="59" t="str">
        <f t="shared" si="31"/>
        <v/>
      </c>
      <c r="E392" s="68"/>
      <c r="F392" s="106" t="str">
        <f t="shared" si="32"/>
        <v/>
      </c>
      <c r="G392" s="101"/>
      <c r="H392" s="101"/>
      <c r="I392" s="101"/>
      <c r="J392" s="68"/>
      <c r="L392" t="str">
        <f t="shared" si="33"/>
        <v/>
      </c>
      <c r="M392" t="str">
        <f t="shared" si="34"/>
        <v/>
      </c>
    </row>
    <row r="393" spans="1:13">
      <c r="A393" s="60" t="str">
        <f>IF(E393="","",VLOOKUP('OPĆI DIO'!$C$3,'OPĆI DIO'!$L$6:$U$138,10,FALSE))</f>
        <v/>
      </c>
      <c r="B393" s="60" t="str">
        <f>IF(E393="","",VLOOKUP('OPĆI DIO'!$C$3,'OPĆI DIO'!$L$6:$U$138,9,FALSE))</f>
        <v/>
      </c>
      <c r="C393" s="103" t="str">
        <f t="shared" si="30"/>
        <v/>
      </c>
      <c r="D393" s="59" t="str">
        <f t="shared" si="31"/>
        <v/>
      </c>
      <c r="E393" s="68"/>
      <c r="F393" s="106" t="str">
        <f t="shared" si="32"/>
        <v/>
      </c>
      <c r="G393" s="101"/>
      <c r="H393" s="101"/>
      <c r="I393" s="101"/>
      <c r="J393" s="68"/>
      <c r="L393" t="str">
        <f t="shared" si="33"/>
        <v/>
      </c>
      <c r="M393" t="str">
        <f t="shared" si="34"/>
        <v/>
      </c>
    </row>
    <row r="394" spans="1:13">
      <c r="A394" s="60" t="str">
        <f>IF(E394="","",VLOOKUP('OPĆI DIO'!$C$3,'OPĆI DIO'!$L$6:$U$138,10,FALSE))</f>
        <v/>
      </c>
      <c r="B394" s="60" t="str">
        <f>IF(E394="","",VLOOKUP('OPĆI DIO'!$C$3,'OPĆI DIO'!$L$6:$U$138,9,FALSE))</f>
        <v/>
      </c>
      <c r="C394" s="103" t="str">
        <f t="shared" si="30"/>
        <v/>
      </c>
      <c r="D394" s="59" t="str">
        <f t="shared" si="31"/>
        <v/>
      </c>
      <c r="E394" s="68"/>
      <c r="F394" s="106" t="str">
        <f t="shared" si="32"/>
        <v/>
      </c>
      <c r="G394" s="101"/>
      <c r="H394" s="101"/>
      <c r="I394" s="101"/>
      <c r="J394" s="68"/>
      <c r="L394" t="str">
        <f t="shared" si="33"/>
        <v/>
      </c>
      <c r="M394" t="str">
        <f t="shared" si="34"/>
        <v/>
      </c>
    </row>
    <row r="395" spans="1:13">
      <c r="A395" s="60" t="str">
        <f>IF(E395="","",VLOOKUP('OPĆI DIO'!$C$3,'OPĆI DIO'!$L$6:$U$138,10,FALSE))</f>
        <v/>
      </c>
      <c r="B395" s="60" t="str">
        <f>IF(E395="","",VLOOKUP('OPĆI DIO'!$C$3,'OPĆI DIO'!$L$6:$U$138,9,FALSE))</f>
        <v/>
      </c>
      <c r="C395" s="103" t="str">
        <f t="shared" si="30"/>
        <v/>
      </c>
      <c r="D395" s="59" t="str">
        <f t="shared" si="31"/>
        <v/>
      </c>
      <c r="E395" s="68"/>
      <c r="F395" s="106" t="str">
        <f t="shared" si="32"/>
        <v/>
      </c>
      <c r="G395" s="101"/>
      <c r="H395" s="101"/>
      <c r="I395" s="101"/>
      <c r="J395" s="68"/>
      <c r="L395" t="str">
        <f t="shared" si="33"/>
        <v/>
      </c>
      <c r="M395" t="str">
        <f t="shared" si="34"/>
        <v/>
      </c>
    </row>
    <row r="396" spans="1:13">
      <c r="A396" s="60" t="str">
        <f>IF(E396="","",VLOOKUP('OPĆI DIO'!$C$3,'OPĆI DIO'!$L$6:$U$138,10,FALSE))</f>
        <v/>
      </c>
      <c r="B396" s="60" t="str">
        <f>IF(E396="","",VLOOKUP('OPĆI DIO'!$C$3,'OPĆI DIO'!$L$6:$U$138,9,FALSE))</f>
        <v/>
      </c>
      <c r="C396" s="103" t="str">
        <f t="shared" si="30"/>
        <v/>
      </c>
      <c r="D396" s="59" t="str">
        <f t="shared" si="31"/>
        <v/>
      </c>
      <c r="E396" s="68"/>
      <c r="F396" s="106" t="str">
        <f t="shared" si="32"/>
        <v/>
      </c>
      <c r="G396" s="101"/>
      <c r="H396" s="101"/>
      <c r="I396" s="101"/>
      <c r="J396" s="68"/>
      <c r="L396" t="str">
        <f t="shared" si="33"/>
        <v/>
      </c>
      <c r="M396" t="str">
        <f t="shared" si="34"/>
        <v/>
      </c>
    </row>
    <row r="397" spans="1:13">
      <c r="A397" s="60" t="str">
        <f>IF(E397="","",VLOOKUP('OPĆI DIO'!$C$3,'OPĆI DIO'!$L$6:$U$138,10,FALSE))</f>
        <v/>
      </c>
      <c r="B397" s="60" t="str">
        <f>IF(E397="","",VLOOKUP('OPĆI DIO'!$C$3,'OPĆI DIO'!$L$6:$U$138,9,FALSE))</f>
        <v/>
      </c>
      <c r="C397" s="103" t="str">
        <f t="shared" si="30"/>
        <v/>
      </c>
      <c r="D397" s="59" t="str">
        <f t="shared" si="31"/>
        <v/>
      </c>
      <c r="E397" s="68"/>
      <c r="F397" s="106" t="str">
        <f t="shared" si="32"/>
        <v/>
      </c>
      <c r="G397" s="101"/>
      <c r="H397" s="101"/>
      <c r="I397" s="101"/>
      <c r="J397" s="68"/>
      <c r="L397" t="str">
        <f t="shared" si="33"/>
        <v/>
      </c>
      <c r="M397" t="str">
        <f t="shared" si="34"/>
        <v/>
      </c>
    </row>
    <row r="398" spans="1:13">
      <c r="A398" s="60" t="str">
        <f>IF(E398="","",VLOOKUP('OPĆI DIO'!$C$3,'OPĆI DIO'!$L$6:$U$138,10,FALSE))</f>
        <v/>
      </c>
      <c r="B398" s="60" t="str">
        <f>IF(E398="","",VLOOKUP('OPĆI DIO'!$C$3,'OPĆI DIO'!$L$6:$U$138,9,FALSE))</f>
        <v/>
      </c>
      <c r="C398" s="103" t="str">
        <f t="shared" si="30"/>
        <v/>
      </c>
      <c r="D398" s="59" t="str">
        <f t="shared" si="31"/>
        <v/>
      </c>
      <c r="E398" s="68"/>
      <c r="F398" s="106" t="str">
        <f t="shared" si="32"/>
        <v/>
      </c>
      <c r="G398" s="101"/>
      <c r="H398" s="101"/>
      <c r="I398" s="101"/>
      <c r="J398" s="68"/>
      <c r="L398" t="str">
        <f t="shared" si="33"/>
        <v/>
      </c>
      <c r="M398" t="str">
        <f t="shared" si="34"/>
        <v/>
      </c>
    </row>
    <row r="399" spans="1:13">
      <c r="A399" s="60" t="str">
        <f>IF(E399="","",VLOOKUP('OPĆI DIO'!$C$3,'OPĆI DIO'!$L$6:$U$138,10,FALSE))</f>
        <v/>
      </c>
      <c r="B399" s="60" t="str">
        <f>IF(E399="","",VLOOKUP('OPĆI DIO'!$C$3,'OPĆI DIO'!$L$6:$U$138,9,FALSE))</f>
        <v/>
      </c>
      <c r="C399" s="103" t="str">
        <f t="shared" si="30"/>
        <v/>
      </c>
      <c r="D399" s="59" t="str">
        <f t="shared" si="31"/>
        <v/>
      </c>
      <c r="E399" s="68"/>
      <c r="F399" s="106" t="str">
        <f t="shared" si="32"/>
        <v/>
      </c>
      <c r="G399" s="101"/>
      <c r="H399" s="101"/>
      <c r="I399" s="101"/>
      <c r="J399" s="68"/>
      <c r="L399" t="str">
        <f t="shared" si="33"/>
        <v/>
      </c>
      <c r="M399" t="str">
        <f t="shared" si="34"/>
        <v/>
      </c>
    </row>
    <row r="400" spans="1:13">
      <c r="A400" s="60" t="str">
        <f>IF(E400="","",VLOOKUP('OPĆI DIO'!$C$3,'OPĆI DIO'!$L$6:$U$138,10,FALSE))</f>
        <v/>
      </c>
      <c r="B400" s="60" t="str">
        <f>IF(E400="","",VLOOKUP('OPĆI DIO'!$C$3,'OPĆI DIO'!$L$6:$U$138,9,FALSE))</f>
        <v/>
      </c>
      <c r="C400" s="103" t="str">
        <f t="shared" si="30"/>
        <v/>
      </c>
      <c r="D400" s="59" t="str">
        <f t="shared" si="31"/>
        <v/>
      </c>
      <c r="E400" s="68"/>
      <c r="F400" s="106" t="str">
        <f t="shared" si="32"/>
        <v/>
      </c>
      <c r="G400" s="101"/>
      <c r="H400" s="101"/>
      <c r="I400" s="101"/>
      <c r="J400" s="68"/>
      <c r="L400" t="str">
        <f t="shared" si="33"/>
        <v/>
      </c>
      <c r="M400" t="str">
        <f t="shared" si="34"/>
        <v/>
      </c>
    </row>
    <row r="401" spans="1:13">
      <c r="A401" s="60" t="str">
        <f>IF(E401="","",VLOOKUP('OPĆI DIO'!$C$3,'OPĆI DIO'!$L$6:$U$138,10,FALSE))</f>
        <v/>
      </c>
      <c r="B401" s="60" t="str">
        <f>IF(E401="","",VLOOKUP('OPĆI DIO'!$C$3,'OPĆI DIO'!$L$6:$U$138,9,FALSE))</f>
        <v/>
      </c>
      <c r="C401" s="103" t="str">
        <f t="shared" si="30"/>
        <v/>
      </c>
      <c r="D401" s="59" t="str">
        <f t="shared" si="31"/>
        <v/>
      </c>
      <c r="E401" s="68"/>
      <c r="F401" s="106" t="str">
        <f t="shared" si="32"/>
        <v/>
      </c>
      <c r="G401" s="101"/>
      <c r="H401" s="101"/>
      <c r="I401" s="101"/>
      <c r="J401" s="68"/>
      <c r="L401" t="str">
        <f t="shared" si="33"/>
        <v/>
      </c>
      <c r="M401" t="str">
        <f t="shared" si="34"/>
        <v/>
      </c>
    </row>
    <row r="402" spans="1:13">
      <c r="A402" s="60" t="str">
        <f>IF(E402="","",VLOOKUP('OPĆI DIO'!$C$3,'OPĆI DIO'!$L$6:$U$138,10,FALSE))</f>
        <v/>
      </c>
      <c r="B402" s="60" t="str">
        <f>IF(E402="","",VLOOKUP('OPĆI DIO'!$C$3,'OPĆI DIO'!$L$6:$U$138,9,FALSE))</f>
        <v/>
      </c>
      <c r="C402" s="103" t="str">
        <f t="shared" si="30"/>
        <v/>
      </c>
      <c r="D402" s="59" t="str">
        <f t="shared" si="31"/>
        <v/>
      </c>
      <c r="E402" s="68"/>
      <c r="F402" s="106" t="str">
        <f t="shared" si="32"/>
        <v/>
      </c>
      <c r="G402" s="101"/>
      <c r="H402" s="101"/>
      <c r="I402" s="101"/>
      <c r="J402" s="68"/>
      <c r="L402" t="str">
        <f t="shared" si="33"/>
        <v/>
      </c>
      <c r="M402" t="str">
        <f t="shared" si="34"/>
        <v/>
      </c>
    </row>
    <row r="403" spans="1:13">
      <c r="A403" s="60" t="str">
        <f>IF(E403="","",VLOOKUP('OPĆI DIO'!$C$3,'OPĆI DIO'!$L$6:$U$138,10,FALSE))</f>
        <v/>
      </c>
      <c r="B403" s="60" t="str">
        <f>IF(E403="","",VLOOKUP('OPĆI DIO'!$C$3,'OPĆI DIO'!$L$6:$U$138,9,FALSE))</f>
        <v/>
      </c>
      <c r="C403" s="103" t="str">
        <f t="shared" si="30"/>
        <v/>
      </c>
      <c r="D403" s="59" t="str">
        <f t="shared" si="31"/>
        <v/>
      </c>
      <c r="E403" s="68"/>
      <c r="F403" s="106" t="str">
        <f t="shared" si="32"/>
        <v/>
      </c>
      <c r="G403" s="101"/>
      <c r="H403" s="101"/>
      <c r="I403" s="101"/>
      <c r="J403" s="68"/>
      <c r="L403" t="str">
        <f t="shared" si="33"/>
        <v/>
      </c>
      <c r="M403" t="str">
        <f t="shared" si="34"/>
        <v/>
      </c>
    </row>
    <row r="404" spans="1:13">
      <c r="A404" s="60" t="str">
        <f>IF(E404="","",VLOOKUP('OPĆI DIO'!$C$3,'OPĆI DIO'!$L$6:$U$138,10,FALSE))</f>
        <v/>
      </c>
      <c r="B404" s="60" t="str">
        <f>IF(E404="","",VLOOKUP('OPĆI DIO'!$C$3,'OPĆI DIO'!$L$6:$U$138,9,FALSE))</f>
        <v/>
      </c>
      <c r="C404" s="103" t="str">
        <f t="shared" si="30"/>
        <v/>
      </c>
      <c r="D404" s="59" t="str">
        <f t="shared" si="31"/>
        <v/>
      </c>
      <c r="E404" s="68"/>
      <c r="F404" s="106" t="str">
        <f t="shared" si="32"/>
        <v/>
      </c>
      <c r="G404" s="101"/>
      <c r="H404" s="101"/>
      <c r="I404" s="101"/>
      <c r="J404" s="68"/>
      <c r="L404" t="str">
        <f t="shared" si="33"/>
        <v/>
      </c>
      <c r="M404" t="str">
        <f t="shared" si="34"/>
        <v/>
      </c>
    </row>
    <row r="405" spans="1:13">
      <c r="A405" s="60" t="str">
        <f>IF(E405="","",VLOOKUP('OPĆI DIO'!$C$3,'OPĆI DIO'!$L$6:$U$138,10,FALSE))</f>
        <v/>
      </c>
      <c r="B405" s="60" t="str">
        <f>IF(E405="","",VLOOKUP('OPĆI DIO'!$C$3,'OPĆI DIO'!$L$6:$U$138,9,FALSE))</f>
        <v/>
      </c>
      <c r="C405" s="103" t="str">
        <f t="shared" si="30"/>
        <v/>
      </c>
      <c r="D405" s="59" t="str">
        <f t="shared" si="31"/>
        <v/>
      </c>
      <c r="E405" s="68"/>
      <c r="F405" s="106" t="str">
        <f t="shared" si="32"/>
        <v/>
      </c>
      <c r="G405" s="101"/>
      <c r="H405" s="101"/>
      <c r="I405" s="101"/>
      <c r="J405" s="68"/>
      <c r="L405" t="str">
        <f t="shared" si="33"/>
        <v/>
      </c>
      <c r="M405" t="str">
        <f t="shared" si="34"/>
        <v/>
      </c>
    </row>
    <row r="406" spans="1:13">
      <c r="A406" s="60" t="str">
        <f>IF(E406="","",VLOOKUP('OPĆI DIO'!$C$3,'OPĆI DIO'!$L$6:$U$138,10,FALSE))</f>
        <v/>
      </c>
      <c r="B406" s="60" t="str">
        <f>IF(E406="","",VLOOKUP('OPĆI DIO'!$C$3,'OPĆI DIO'!$L$6:$U$138,9,FALSE))</f>
        <v/>
      </c>
      <c r="C406" s="103" t="str">
        <f t="shared" si="30"/>
        <v/>
      </c>
      <c r="D406" s="59" t="str">
        <f t="shared" si="31"/>
        <v/>
      </c>
      <c r="E406" s="68"/>
      <c r="F406" s="106" t="str">
        <f t="shared" si="32"/>
        <v/>
      </c>
      <c r="G406" s="101"/>
      <c r="H406" s="101"/>
      <c r="I406" s="101"/>
      <c r="J406" s="68"/>
      <c r="L406" t="str">
        <f t="shared" si="33"/>
        <v/>
      </c>
      <c r="M406" t="str">
        <f t="shared" si="34"/>
        <v/>
      </c>
    </row>
    <row r="407" spans="1:13">
      <c r="A407" s="60" t="str">
        <f>IF(E407="","",VLOOKUP('OPĆI DIO'!$C$3,'OPĆI DIO'!$L$6:$U$138,10,FALSE))</f>
        <v/>
      </c>
      <c r="B407" s="60" t="str">
        <f>IF(E407="","",VLOOKUP('OPĆI DIO'!$C$3,'OPĆI DIO'!$L$6:$U$138,9,FALSE))</f>
        <v/>
      </c>
      <c r="C407" s="103" t="str">
        <f t="shared" si="30"/>
        <v/>
      </c>
      <c r="D407" s="59" t="str">
        <f t="shared" si="31"/>
        <v/>
      </c>
      <c r="E407" s="68"/>
      <c r="F407" s="106" t="str">
        <f t="shared" si="32"/>
        <v/>
      </c>
      <c r="G407" s="101"/>
      <c r="H407" s="101"/>
      <c r="I407" s="101"/>
      <c r="J407" s="68"/>
      <c r="L407" t="str">
        <f t="shared" si="33"/>
        <v/>
      </c>
      <c r="M407" t="str">
        <f t="shared" si="34"/>
        <v/>
      </c>
    </row>
    <row r="408" spans="1:13">
      <c r="A408" s="60" t="str">
        <f>IF(E408="","",VLOOKUP('OPĆI DIO'!$C$3,'OPĆI DIO'!$L$6:$U$138,10,FALSE))</f>
        <v/>
      </c>
      <c r="B408" s="60" t="str">
        <f>IF(E408="","",VLOOKUP('OPĆI DIO'!$C$3,'OPĆI DIO'!$L$6:$U$138,9,FALSE))</f>
        <v/>
      </c>
      <c r="C408" s="103" t="str">
        <f t="shared" si="30"/>
        <v/>
      </c>
      <c r="D408" s="59" t="str">
        <f t="shared" si="31"/>
        <v/>
      </c>
      <c r="E408" s="68"/>
      <c r="F408" s="106" t="str">
        <f t="shared" si="32"/>
        <v/>
      </c>
      <c r="G408" s="101"/>
      <c r="H408" s="101"/>
      <c r="I408" s="101"/>
      <c r="J408" s="68"/>
      <c r="L408" t="str">
        <f t="shared" si="33"/>
        <v/>
      </c>
      <c r="M408" t="str">
        <f t="shared" si="34"/>
        <v/>
      </c>
    </row>
    <row r="409" spans="1:13">
      <c r="A409" s="60" t="str">
        <f>IF(E409="","",VLOOKUP('OPĆI DIO'!$C$3,'OPĆI DIO'!$L$6:$U$138,10,FALSE))</f>
        <v/>
      </c>
      <c r="B409" s="60" t="str">
        <f>IF(E409="","",VLOOKUP('OPĆI DIO'!$C$3,'OPĆI DIO'!$L$6:$U$138,9,FALSE))</f>
        <v/>
      </c>
      <c r="C409" s="103" t="str">
        <f t="shared" si="30"/>
        <v/>
      </c>
      <c r="D409" s="59" t="str">
        <f t="shared" si="31"/>
        <v/>
      </c>
      <c r="E409" s="68"/>
      <c r="F409" s="106" t="str">
        <f t="shared" si="32"/>
        <v/>
      </c>
      <c r="G409" s="101"/>
      <c r="H409" s="101"/>
      <c r="I409" s="101"/>
      <c r="J409" s="68"/>
      <c r="L409" t="str">
        <f t="shared" si="33"/>
        <v/>
      </c>
      <c r="M409" t="str">
        <f t="shared" si="34"/>
        <v/>
      </c>
    </row>
    <row r="410" spans="1:13">
      <c r="A410" s="60" t="str">
        <f>IF(E410="","",VLOOKUP('OPĆI DIO'!$C$3,'OPĆI DIO'!$L$6:$U$138,10,FALSE))</f>
        <v/>
      </c>
      <c r="B410" s="60" t="str">
        <f>IF(E410="","",VLOOKUP('OPĆI DIO'!$C$3,'OPĆI DIO'!$L$6:$U$138,9,FALSE))</f>
        <v/>
      </c>
      <c r="C410" s="103" t="str">
        <f t="shared" si="30"/>
        <v/>
      </c>
      <c r="D410" s="59" t="str">
        <f t="shared" si="31"/>
        <v/>
      </c>
      <c r="E410" s="68"/>
      <c r="F410" s="106" t="str">
        <f t="shared" si="32"/>
        <v/>
      </c>
      <c r="G410" s="101"/>
      <c r="H410" s="101"/>
      <c r="I410" s="101"/>
      <c r="J410" s="68"/>
      <c r="L410" t="str">
        <f t="shared" si="33"/>
        <v/>
      </c>
      <c r="M410" t="str">
        <f t="shared" si="34"/>
        <v/>
      </c>
    </row>
    <row r="411" spans="1:13">
      <c r="A411" s="60" t="str">
        <f>IF(E411="","",VLOOKUP('OPĆI DIO'!$C$3,'OPĆI DIO'!$L$6:$U$138,10,FALSE))</f>
        <v/>
      </c>
      <c r="B411" s="60" t="str">
        <f>IF(E411="","",VLOOKUP('OPĆI DIO'!$C$3,'OPĆI DIO'!$L$6:$U$138,9,FALSE))</f>
        <v/>
      </c>
      <c r="C411" s="103" t="str">
        <f t="shared" si="30"/>
        <v/>
      </c>
      <c r="D411" s="59" t="str">
        <f t="shared" si="31"/>
        <v/>
      </c>
      <c r="E411" s="68"/>
      <c r="F411" s="106" t="str">
        <f t="shared" si="32"/>
        <v/>
      </c>
      <c r="G411" s="101"/>
      <c r="H411" s="101"/>
      <c r="I411" s="101"/>
      <c r="J411" s="68"/>
      <c r="L411" t="str">
        <f t="shared" si="33"/>
        <v/>
      </c>
      <c r="M411" t="str">
        <f t="shared" si="34"/>
        <v/>
      </c>
    </row>
    <row r="412" spans="1:13">
      <c r="A412" s="60" t="str">
        <f>IF(E412="","",VLOOKUP('OPĆI DIO'!$C$3,'OPĆI DIO'!$L$6:$U$138,10,FALSE))</f>
        <v/>
      </c>
      <c r="B412" s="60" t="str">
        <f>IF(E412="","",VLOOKUP('OPĆI DIO'!$C$3,'OPĆI DIO'!$L$6:$U$138,9,FALSE))</f>
        <v/>
      </c>
      <c r="C412" s="103" t="str">
        <f t="shared" si="30"/>
        <v/>
      </c>
      <c r="D412" s="59" t="str">
        <f t="shared" si="31"/>
        <v/>
      </c>
      <c r="E412" s="68"/>
      <c r="F412" s="106" t="str">
        <f t="shared" si="32"/>
        <v/>
      </c>
      <c r="G412" s="101"/>
      <c r="H412" s="101"/>
      <c r="I412" s="101"/>
      <c r="J412" s="68"/>
      <c r="L412" t="str">
        <f t="shared" si="33"/>
        <v/>
      </c>
      <c r="M412" t="str">
        <f t="shared" si="34"/>
        <v/>
      </c>
    </row>
    <row r="413" spans="1:13">
      <c r="A413" s="60" t="str">
        <f>IF(E413="","",VLOOKUP('OPĆI DIO'!$C$3,'OPĆI DIO'!$L$6:$U$138,10,FALSE))</f>
        <v/>
      </c>
      <c r="B413" s="60" t="str">
        <f>IF(E413="","",VLOOKUP('OPĆI DIO'!$C$3,'OPĆI DIO'!$L$6:$U$138,9,FALSE))</f>
        <v/>
      </c>
      <c r="C413" s="103" t="str">
        <f t="shared" si="30"/>
        <v/>
      </c>
      <c r="D413" s="59" t="str">
        <f t="shared" si="31"/>
        <v/>
      </c>
      <c r="E413" s="68"/>
      <c r="F413" s="106" t="str">
        <f t="shared" si="32"/>
        <v/>
      </c>
      <c r="G413" s="101"/>
      <c r="H413" s="101"/>
      <c r="I413" s="101"/>
      <c r="J413" s="68"/>
      <c r="L413" t="str">
        <f t="shared" si="33"/>
        <v/>
      </c>
      <c r="M413" t="str">
        <f t="shared" si="34"/>
        <v/>
      </c>
    </row>
    <row r="414" spans="1:13">
      <c r="A414" s="60" t="str">
        <f>IF(E414="","",VLOOKUP('OPĆI DIO'!$C$3,'OPĆI DIO'!$L$6:$U$138,10,FALSE))</f>
        <v/>
      </c>
      <c r="B414" s="60" t="str">
        <f>IF(E414="","",VLOOKUP('OPĆI DIO'!$C$3,'OPĆI DIO'!$L$6:$U$138,9,FALSE))</f>
        <v/>
      </c>
      <c r="C414" s="103" t="str">
        <f t="shared" si="30"/>
        <v/>
      </c>
      <c r="D414" s="59" t="str">
        <f t="shared" si="31"/>
        <v/>
      </c>
      <c r="E414" s="68"/>
      <c r="F414" s="106" t="str">
        <f t="shared" si="32"/>
        <v/>
      </c>
      <c r="G414" s="101"/>
      <c r="H414" s="101"/>
      <c r="I414" s="101"/>
      <c r="J414" s="68"/>
      <c r="L414" t="str">
        <f t="shared" si="33"/>
        <v/>
      </c>
      <c r="M414" t="str">
        <f t="shared" si="34"/>
        <v/>
      </c>
    </row>
    <row r="415" spans="1:13">
      <c r="A415" s="60" t="str">
        <f>IF(E415="","",VLOOKUP('OPĆI DIO'!$C$3,'OPĆI DIO'!$L$6:$U$138,10,FALSE))</f>
        <v/>
      </c>
      <c r="B415" s="60" t="str">
        <f>IF(E415="","",VLOOKUP('OPĆI DIO'!$C$3,'OPĆI DIO'!$L$6:$U$138,9,FALSE))</f>
        <v/>
      </c>
      <c r="C415" s="103" t="str">
        <f t="shared" si="30"/>
        <v/>
      </c>
      <c r="D415" s="59" t="str">
        <f t="shared" si="31"/>
        <v/>
      </c>
      <c r="E415" s="68"/>
      <c r="F415" s="106" t="str">
        <f t="shared" si="32"/>
        <v/>
      </c>
      <c r="G415" s="101"/>
      <c r="H415" s="101"/>
      <c r="I415" s="101"/>
      <c r="J415" s="68"/>
      <c r="L415" t="str">
        <f t="shared" si="33"/>
        <v/>
      </c>
      <c r="M415" t="str">
        <f t="shared" si="34"/>
        <v/>
      </c>
    </row>
    <row r="416" spans="1:13">
      <c r="A416" s="60" t="str">
        <f>IF(E416="","",VLOOKUP('OPĆI DIO'!$C$3,'OPĆI DIO'!$L$6:$U$138,10,FALSE))</f>
        <v/>
      </c>
      <c r="B416" s="60" t="str">
        <f>IF(E416="","",VLOOKUP('OPĆI DIO'!$C$3,'OPĆI DIO'!$L$6:$U$138,9,FALSE))</f>
        <v/>
      </c>
      <c r="C416" s="103" t="str">
        <f t="shared" si="30"/>
        <v/>
      </c>
      <c r="D416" s="59" t="str">
        <f t="shared" si="31"/>
        <v/>
      </c>
      <c r="E416" s="68"/>
      <c r="F416" s="106" t="str">
        <f t="shared" si="32"/>
        <v/>
      </c>
      <c r="G416" s="101"/>
      <c r="H416" s="101"/>
      <c r="I416" s="101"/>
      <c r="J416" s="68"/>
      <c r="L416" t="str">
        <f t="shared" si="33"/>
        <v/>
      </c>
      <c r="M416" t="str">
        <f t="shared" si="34"/>
        <v/>
      </c>
    </row>
    <row r="417" spans="1:13">
      <c r="A417" s="60" t="str">
        <f>IF(E417="","",VLOOKUP('OPĆI DIO'!$C$3,'OPĆI DIO'!$L$6:$U$138,10,FALSE))</f>
        <v/>
      </c>
      <c r="B417" s="60" t="str">
        <f>IF(E417="","",VLOOKUP('OPĆI DIO'!$C$3,'OPĆI DIO'!$L$6:$U$138,9,FALSE))</f>
        <v/>
      </c>
      <c r="C417" s="103" t="str">
        <f t="shared" si="30"/>
        <v/>
      </c>
      <c r="D417" s="59" t="str">
        <f t="shared" si="31"/>
        <v/>
      </c>
      <c r="E417" s="68"/>
      <c r="F417" s="106" t="str">
        <f t="shared" si="32"/>
        <v/>
      </c>
      <c r="G417" s="101"/>
      <c r="H417" s="101"/>
      <c r="I417" s="101"/>
      <c r="J417" s="68"/>
      <c r="L417" t="str">
        <f t="shared" si="33"/>
        <v/>
      </c>
      <c r="M417" t="str">
        <f t="shared" si="34"/>
        <v/>
      </c>
    </row>
    <row r="418" spans="1:13">
      <c r="A418" s="60" t="str">
        <f>IF(E418="","",VLOOKUP('OPĆI DIO'!$C$3,'OPĆI DIO'!$L$6:$U$138,10,FALSE))</f>
        <v/>
      </c>
      <c r="B418" s="60" t="str">
        <f>IF(E418="","",VLOOKUP('OPĆI DIO'!$C$3,'OPĆI DIO'!$L$6:$U$138,9,FALSE))</f>
        <v/>
      </c>
      <c r="C418" s="103" t="str">
        <f t="shared" si="30"/>
        <v/>
      </c>
      <c r="D418" s="59" t="str">
        <f t="shared" si="31"/>
        <v/>
      </c>
      <c r="E418" s="68"/>
      <c r="F418" s="106" t="str">
        <f t="shared" si="32"/>
        <v/>
      </c>
      <c r="G418" s="101"/>
      <c r="H418" s="101"/>
      <c r="I418" s="101"/>
      <c r="J418" s="68"/>
      <c r="L418" t="str">
        <f t="shared" si="33"/>
        <v/>
      </c>
      <c r="M418" t="str">
        <f t="shared" si="34"/>
        <v/>
      </c>
    </row>
    <row r="419" spans="1:13">
      <c r="A419" s="60" t="str">
        <f>IF(E419="","",VLOOKUP('OPĆI DIO'!$C$3,'OPĆI DIO'!$L$6:$U$138,10,FALSE))</f>
        <v/>
      </c>
      <c r="B419" s="60" t="str">
        <f>IF(E419="","",VLOOKUP('OPĆI DIO'!$C$3,'OPĆI DIO'!$L$6:$U$138,9,FALSE))</f>
        <v/>
      </c>
      <c r="C419" s="103" t="str">
        <f t="shared" si="30"/>
        <v/>
      </c>
      <c r="D419" s="59" t="str">
        <f t="shared" si="31"/>
        <v/>
      </c>
      <c r="E419" s="68"/>
      <c r="F419" s="106" t="str">
        <f t="shared" si="32"/>
        <v/>
      </c>
      <c r="G419" s="101"/>
      <c r="H419" s="101"/>
      <c r="I419" s="101"/>
      <c r="J419" s="68"/>
      <c r="L419" t="str">
        <f t="shared" si="33"/>
        <v/>
      </c>
      <c r="M419" t="str">
        <f t="shared" si="34"/>
        <v/>
      </c>
    </row>
    <row r="420" spans="1:13">
      <c r="A420" s="60" t="str">
        <f>IF(E420="","",VLOOKUP('OPĆI DIO'!$C$3,'OPĆI DIO'!$L$6:$U$138,10,FALSE))</f>
        <v/>
      </c>
      <c r="B420" s="60" t="str">
        <f>IF(E420="","",VLOOKUP('OPĆI DIO'!$C$3,'OPĆI DIO'!$L$6:$U$138,9,FALSE))</f>
        <v/>
      </c>
      <c r="C420" s="103" t="str">
        <f t="shared" si="30"/>
        <v/>
      </c>
      <c r="D420" s="59" t="str">
        <f t="shared" si="31"/>
        <v/>
      </c>
      <c r="E420" s="68"/>
      <c r="F420" s="106" t="str">
        <f t="shared" si="32"/>
        <v/>
      </c>
      <c r="G420" s="101"/>
      <c r="H420" s="101"/>
      <c r="I420" s="101"/>
      <c r="J420" s="68"/>
      <c r="L420" t="str">
        <f t="shared" si="33"/>
        <v/>
      </c>
      <c r="M420" t="str">
        <f t="shared" si="34"/>
        <v/>
      </c>
    </row>
    <row r="421" spans="1:13">
      <c r="A421" s="60" t="str">
        <f>IF(E421="","",VLOOKUP('OPĆI DIO'!$C$3,'OPĆI DIO'!$L$6:$U$138,10,FALSE))</f>
        <v/>
      </c>
      <c r="B421" s="60" t="str">
        <f>IF(E421="","",VLOOKUP('OPĆI DIO'!$C$3,'OPĆI DIO'!$L$6:$U$138,9,FALSE))</f>
        <v/>
      </c>
      <c r="C421" s="103" t="str">
        <f t="shared" si="30"/>
        <v/>
      </c>
      <c r="D421" s="59" t="str">
        <f t="shared" si="31"/>
        <v/>
      </c>
      <c r="E421" s="68"/>
      <c r="F421" s="106" t="str">
        <f t="shared" si="32"/>
        <v/>
      </c>
      <c r="G421" s="101"/>
      <c r="H421" s="101"/>
      <c r="I421" s="101"/>
      <c r="J421" s="68"/>
      <c r="L421" t="str">
        <f t="shared" si="33"/>
        <v/>
      </c>
      <c r="M421" t="str">
        <f t="shared" si="34"/>
        <v/>
      </c>
    </row>
    <row r="422" spans="1:13">
      <c r="A422" s="60" t="str">
        <f>IF(E422="","",VLOOKUP('OPĆI DIO'!$C$3,'OPĆI DIO'!$L$6:$U$138,10,FALSE))</f>
        <v/>
      </c>
      <c r="B422" s="60" t="str">
        <f>IF(E422="","",VLOOKUP('OPĆI DIO'!$C$3,'OPĆI DIO'!$L$6:$U$138,9,FALSE))</f>
        <v/>
      </c>
      <c r="C422" s="103" t="str">
        <f t="shared" si="30"/>
        <v/>
      </c>
      <c r="D422" s="59" t="str">
        <f t="shared" si="31"/>
        <v/>
      </c>
      <c r="E422" s="68"/>
      <c r="F422" s="106" t="str">
        <f t="shared" si="32"/>
        <v/>
      </c>
      <c r="G422" s="101"/>
      <c r="H422" s="101"/>
      <c r="I422" s="101"/>
      <c r="J422" s="68"/>
      <c r="L422" t="str">
        <f t="shared" si="33"/>
        <v/>
      </c>
      <c r="M422" t="str">
        <f t="shared" si="34"/>
        <v/>
      </c>
    </row>
    <row r="423" spans="1:13">
      <c r="A423" s="60" t="str">
        <f>IF(E423="","",VLOOKUP('OPĆI DIO'!$C$3,'OPĆI DIO'!$L$6:$U$138,10,FALSE))</f>
        <v/>
      </c>
      <c r="B423" s="60" t="str">
        <f>IF(E423="","",VLOOKUP('OPĆI DIO'!$C$3,'OPĆI DIO'!$L$6:$U$138,9,FALSE))</f>
        <v/>
      </c>
      <c r="C423" s="103" t="str">
        <f t="shared" si="30"/>
        <v/>
      </c>
      <c r="D423" s="59" t="str">
        <f t="shared" si="31"/>
        <v/>
      </c>
      <c r="E423" s="68"/>
      <c r="F423" s="106" t="str">
        <f t="shared" si="32"/>
        <v/>
      </c>
      <c r="G423" s="101"/>
      <c r="H423" s="101"/>
      <c r="I423" s="101"/>
      <c r="J423" s="68"/>
      <c r="L423" t="str">
        <f t="shared" si="33"/>
        <v/>
      </c>
      <c r="M423" t="str">
        <f t="shared" si="34"/>
        <v/>
      </c>
    </row>
    <row r="424" spans="1:13">
      <c r="A424" s="60" t="str">
        <f>IF(E424="","",VLOOKUP('OPĆI DIO'!$C$3,'OPĆI DIO'!$L$6:$U$138,10,FALSE))</f>
        <v/>
      </c>
      <c r="B424" s="60" t="str">
        <f>IF(E424="","",VLOOKUP('OPĆI DIO'!$C$3,'OPĆI DIO'!$L$6:$U$138,9,FALSE))</f>
        <v/>
      </c>
      <c r="C424" s="103" t="str">
        <f t="shared" si="30"/>
        <v/>
      </c>
      <c r="D424" s="59" t="str">
        <f t="shared" si="31"/>
        <v/>
      </c>
      <c r="E424" s="68"/>
      <c r="F424" s="106" t="str">
        <f t="shared" si="32"/>
        <v/>
      </c>
      <c r="G424" s="101"/>
      <c r="H424" s="101"/>
      <c r="I424" s="101"/>
      <c r="J424" s="68"/>
      <c r="L424" t="str">
        <f t="shared" si="33"/>
        <v/>
      </c>
      <c r="M424" t="str">
        <f t="shared" si="34"/>
        <v/>
      </c>
    </row>
    <row r="425" spans="1:13">
      <c r="A425" s="60" t="str">
        <f>IF(E425="","",VLOOKUP('OPĆI DIO'!$C$3,'OPĆI DIO'!$L$6:$U$138,10,FALSE))</f>
        <v/>
      </c>
      <c r="B425" s="60" t="str">
        <f>IF(E425="","",VLOOKUP('OPĆI DIO'!$C$3,'OPĆI DIO'!$L$6:$U$138,9,FALSE))</f>
        <v/>
      </c>
      <c r="C425" s="103" t="str">
        <f t="shared" si="30"/>
        <v/>
      </c>
      <c r="D425" s="59" t="str">
        <f t="shared" si="31"/>
        <v/>
      </c>
      <c r="E425" s="68"/>
      <c r="F425" s="106" t="str">
        <f t="shared" si="32"/>
        <v/>
      </c>
      <c r="G425" s="101"/>
      <c r="H425" s="101"/>
      <c r="I425" s="101"/>
      <c r="J425" s="68"/>
      <c r="L425" t="str">
        <f t="shared" si="33"/>
        <v/>
      </c>
      <c r="M425" t="str">
        <f t="shared" si="34"/>
        <v/>
      </c>
    </row>
    <row r="426" spans="1:13">
      <c r="A426" s="60" t="str">
        <f>IF(E426="","",VLOOKUP('OPĆI DIO'!$C$3,'OPĆI DIO'!$L$6:$U$138,10,FALSE))</f>
        <v/>
      </c>
      <c r="B426" s="60" t="str">
        <f>IF(E426="","",VLOOKUP('OPĆI DIO'!$C$3,'OPĆI DIO'!$L$6:$U$138,9,FALSE))</f>
        <v/>
      </c>
      <c r="C426" s="103" t="str">
        <f t="shared" si="30"/>
        <v/>
      </c>
      <c r="D426" s="59" t="str">
        <f t="shared" si="31"/>
        <v/>
      </c>
      <c r="E426" s="68"/>
      <c r="F426" s="106" t="str">
        <f t="shared" si="32"/>
        <v/>
      </c>
      <c r="G426" s="101"/>
      <c r="H426" s="101"/>
      <c r="I426" s="101"/>
      <c r="J426" s="68"/>
      <c r="L426" t="str">
        <f t="shared" si="33"/>
        <v/>
      </c>
      <c r="M426" t="str">
        <f t="shared" si="34"/>
        <v/>
      </c>
    </row>
    <row r="427" spans="1:13">
      <c r="A427" s="60" t="str">
        <f>IF(E427="","",VLOOKUP('OPĆI DIO'!$C$3,'OPĆI DIO'!$L$6:$U$138,10,FALSE))</f>
        <v/>
      </c>
      <c r="B427" s="60" t="str">
        <f>IF(E427="","",VLOOKUP('OPĆI DIO'!$C$3,'OPĆI DIO'!$L$6:$U$138,9,FALSE))</f>
        <v/>
      </c>
      <c r="C427" s="103" t="str">
        <f t="shared" si="30"/>
        <v/>
      </c>
      <c r="D427" s="59" t="str">
        <f t="shared" si="31"/>
        <v/>
      </c>
      <c r="E427" s="68"/>
      <c r="F427" s="106" t="str">
        <f t="shared" si="32"/>
        <v/>
      </c>
      <c r="G427" s="101"/>
      <c r="H427" s="101"/>
      <c r="I427" s="101"/>
      <c r="J427" s="68"/>
      <c r="L427" t="str">
        <f t="shared" si="33"/>
        <v/>
      </c>
      <c r="M427" t="str">
        <f t="shared" si="34"/>
        <v/>
      </c>
    </row>
    <row r="428" spans="1:13">
      <c r="A428" s="60" t="str">
        <f>IF(E428="","",VLOOKUP('OPĆI DIO'!$C$3,'OPĆI DIO'!$L$6:$U$138,10,FALSE))</f>
        <v/>
      </c>
      <c r="B428" s="60" t="str">
        <f>IF(E428="","",VLOOKUP('OPĆI DIO'!$C$3,'OPĆI DIO'!$L$6:$U$138,9,FALSE))</f>
        <v/>
      </c>
      <c r="C428" s="103" t="str">
        <f t="shared" si="30"/>
        <v/>
      </c>
      <c r="D428" s="59" t="str">
        <f t="shared" si="31"/>
        <v/>
      </c>
      <c r="E428" s="68"/>
      <c r="F428" s="106" t="str">
        <f t="shared" si="32"/>
        <v/>
      </c>
      <c r="G428" s="101"/>
      <c r="H428" s="101"/>
      <c r="I428" s="101"/>
      <c r="J428" s="68"/>
      <c r="L428" t="str">
        <f t="shared" si="33"/>
        <v/>
      </c>
      <c r="M428" t="str">
        <f t="shared" si="34"/>
        <v/>
      </c>
    </row>
    <row r="429" spans="1:13">
      <c r="A429" s="60" t="str">
        <f>IF(E429="","",VLOOKUP('OPĆI DIO'!$C$3,'OPĆI DIO'!$L$6:$U$138,10,FALSE))</f>
        <v/>
      </c>
      <c r="B429" s="60" t="str">
        <f>IF(E429="","",VLOOKUP('OPĆI DIO'!$C$3,'OPĆI DIO'!$L$6:$U$138,9,FALSE))</f>
        <v/>
      </c>
      <c r="C429" s="103" t="str">
        <f t="shared" si="30"/>
        <v/>
      </c>
      <c r="D429" s="59" t="str">
        <f t="shared" si="31"/>
        <v/>
      </c>
      <c r="E429" s="68"/>
      <c r="F429" s="106" t="str">
        <f t="shared" si="32"/>
        <v/>
      </c>
      <c r="G429" s="101"/>
      <c r="H429" s="101"/>
      <c r="I429" s="101"/>
      <c r="J429" s="68"/>
      <c r="L429" t="str">
        <f t="shared" si="33"/>
        <v/>
      </c>
      <c r="M429" t="str">
        <f t="shared" si="34"/>
        <v/>
      </c>
    </row>
    <row r="430" spans="1:13">
      <c r="A430" s="60" t="str">
        <f>IF(E430="","",VLOOKUP('OPĆI DIO'!$C$3,'OPĆI DIO'!$L$6:$U$138,10,FALSE))</f>
        <v/>
      </c>
      <c r="B430" s="60" t="str">
        <f>IF(E430="","",VLOOKUP('OPĆI DIO'!$C$3,'OPĆI DIO'!$L$6:$U$138,9,FALSE))</f>
        <v/>
      </c>
      <c r="C430" s="103" t="str">
        <f t="shared" si="30"/>
        <v/>
      </c>
      <c r="D430" s="59" t="str">
        <f t="shared" si="31"/>
        <v/>
      </c>
      <c r="E430" s="68"/>
      <c r="F430" s="106" t="str">
        <f t="shared" si="32"/>
        <v/>
      </c>
      <c r="G430" s="101"/>
      <c r="H430" s="101"/>
      <c r="I430" s="101"/>
      <c r="J430" s="68"/>
      <c r="L430" t="str">
        <f t="shared" si="33"/>
        <v/>
      </c>
      <c r="M430" t="str">
        <f t="shared" si="34"/>
        <v/>
      </c>
    </row>
    <row r="431" spans="1:13">
      <c r="A431" s="60" t="str">
        <f>IF(E431="","",VLOOKUP('OPĆI DIO'!$C$3,'OPĆI DIO'!$L$6:$U$138,10,FALSE))</f>
        <v/>
      </c>
      <c r="B431" s="60" t="str">
        <f>IF(E431="","",VLOOKUP('OPĆI DIO'!$C$3,'OPĆI DIO'!$L$6:$U$138,9,FALSE))</f>
        <v/>
      </c>
      <c r="C431" s="103" t="str">
        <f t="shared" si="30"/>
        <v/>
      </c>
      <c r="D431" s="59" t="str">
        <f t="shared" si="31"/>
        <v/>
      </c>
      <c r="E431" s="68"/>
      <c r="F431" s="106" t="str">
        <f t="shared" si="32"/>
        <v/>
      </c>
      <c r="G431" s="101"/>
      <c r="H431" s="101"/>
      <c r="I431" s="101"/>
      <c r="J431" s="68"/>
      <c r="L431" t="str">
        <f t="shared" si="33"/>
        <v/>
      </c>
      <c r="M431" t="str">
        <f t="shared" si="34"/>
        <v/>
      </c>
    </row>
    <row r="432" spans="1:13">
      <c r="A432" s="60" t="str">
        <f>IF(E432="","",VLOOKUP('OPĆI DIO'!$C$3,'OPĆI DIO'!$L$6:$U$138,10,FALSE))</f>
        <v/>
      </c>
      <c r="B432" s="60" t="str">
        <f>IF(E432="","",VLOOKUP('OPĆI DIO'!$C$3,'OPĆI DIO'!$L$6:$U$138,9,FALSE))</f>
        <v/>
      </c>
      <c r="C432" s="103" t="str">
        <f t="shared" si="30"/>
        <v/>
      </c>
      <c r="D432" s="59" t="str">
        <f t="shared" si="31"/>
        <v/>
      </c>
      <c r="E432" s="68"/>
      <c r="F432" s="106" t="str">
        <f t="shared" si="32"/>
        <v/>
      </c>
      <c r="G432" s="101"/>
      <c r="H432" s="101"/>
      <c r="I432" s="101"/>
      <c r="J432" s="68"/>
      <c r="L432" t="str">
        <f t="shared" si="33"/>
        <v/>
      </c>
      <c r="M432" t="str">
        <f t="shared" si="34"/>
        <v/>
      </c>
    </row>
    <row r="433" spans="1:13">
      <c r="A433" s="60" t="str">
        <f>IF(E433="","",VLOOKUP('OPĆI DIO'!$C$3,'OPĆI DIO'!$L$6:$U$138,10,FALSE))</f>
        <v/>
      </c>
      <c r="B433" s="60" t="str">
        <f>IF(E433="","",VLOOKUP('OPĆI DIO'!$C$3,'OPĆI DIO'!$L$6:$U$138,9,FALSE))</f>
        <v/>
      </c>
      <c r="C433" s="103" t="str">
        <f t="shared" si="30"/>
        <v/>
      </c>
      <c r="D433" s="59" t="str">
        <f t="shared" si="31"/>
        <v/>
      </c>
      <c r="E433" s="68"/>
      <c r="F433" s="106" t="str">
        <f t="shared" si="32"/>
        <v/>
      </c>
      <c r="G433" s="101"/>
      <c r="H433" s="101"/>
      <c r="I433" s="101"/>
      <c r="J433" s="68"/>
      <c r="L433" t="str">
        <f t="shared" si="33"/>
        <v/>
      </c>
      <c r="M433" t="str">
        <f t="shared" si="34"/>
        <v/>
      </c>
    </row>
    <row r="434" spans="1:13">
      <c r="A434" s="60" t="str">
        <f>IF(E434="","",VLOOKUP('OPĆI DIO'!$C$3,'OPĆI DIO'!$L$6:$U$138,10,FALSE))</f>
        <v/>
      </c>
      <c r="B434" s="60" t="str">
        <f>IF(E434="","",VLOOKUP('OPĆI DIO'!$C$3,'OPĆI DIO'!$L$6:$U$138,9,FALSE))</f>
        <v/>
      </c>
      <c r="C434" s="103" t="str">
        <f t="shared" si="30"/>
        <v/>
      </c>
      <c r="D434" s="59" t="str">
        <f t="shared" si="31"/>
        <v/>
      </c>
      <c r="E434" s="68"/>
      <c r="F434" s="106" t="str">
        <f t="shared" si="32"/>
        <v/>
      </c>
      <c r="G434" s="101"/>
      <c r="H434" s="101"/>
      <c r="I434" s="101"/>
      <c r="J434" s="68"/>
      <c r="L434" t="str">
        <f t="shared" si="33"/>
        <v/>
      </c>
      <c r="M434" t="str">
        <f t="shared" si="34"/>
        <v/>
      </c>
    </row>
    <row r="435" spans="1:13">
      <c r="A435" s="60" t="str">
        <f>IF(E435="","",VLOOKUP('OPĆI DIO'!$C$3,'OPĆI DIO'!$L$6:$U$138,10,FALSE))</f>
        <v/>
      </c>
      <c r="B435" s="60" t="str">
        <f>IF(E435="","",VLOOKUP('OPĆI DIO'!$C$3,'OPĆI DIO'!$L$6:$U$138,9,FALSE))</f>
        <v/>
      </c>
      <c r="C435" s="103" t="str">
        <f t="shared" si="30"/>
        <v/>
      </c>
      <c r="D435" s="59" t="str">
        <f t="shared" si="31"/>
        <v/>
      </c>
      <c r="E435" s="68"/>
      <c r="F435" s="106" t="str">
        <f t="shared" si="32"/>
        <v/>
      </c>
      <c r="G435" s="101"/>
      <c r="H435" s="101"/>
      <c r="I435" s="101"/>
      <c r="J435" s="68"/>
      <c r="L435" t="str">
        <f t="shared" si="33"/>
        <v/>
      </c>
      <c r="M435" t="str">
        <f t="shared" si="34"/>
        <v/>
      </c>
    </row>
    <row r="436" spans="1:13">
      <c r="A436" s="60" t="str">
        <f>IF(E436="","",VLOOKUP('OPĆI DIO'!$C$3,'OPĆI DIO'!$L$6:$U$138,10,FALSE))</f>
        <v/>
      </c>
      <c r="B436" s="60" t="str">
        <f>IF(E436="","",VLOOKUP('OPĆI DIO'!$C$3,'OPĆI DIO'!$L$6:$U$138,9,FALSE))</f>
        <v/>
      </c>
      <c r="C436" s="103" t="str">
        <f t="shared" si="30"/>
        <v/>
      </c>
      <c r="D436" s="59" t="str">
        <f t="shared" si="31"/>
        <v/>
      </c>
      <c r="E436" s="68"/>
      <c r="F436" s="106" t="str">
        <f t="shared" si="32"/>
        <v/>
      </c>
      <c r="G436" s="101"/>
      <c r="H436" s="101"/>
      <c r="I436" s="101"/>
      <c r="J436" s="68"/>
      <c r="L436" t="str">
        <f t="shared" si="33"/>
        <v/>
      </c>
      <c r="M436" t="str">
        <f t="shared" si="34"/>
        <v/>
      </c>
    </row>
    <row r="437" spans="1:13">
      <c r="A437" s="60" t="str">
        <f>IF(E437="","",VLOOKUP('OPĆI DIO'!$C$3,'OPĆI DIO'!$L$6:$U$138,10,FALSE))</f>
        <v/>
      </c>
      <c r="B437" s="60" t="str">
        <f>IF(E437="","",VLOOKUP('OPĆI DIO'!$C$3,'OPĆI DIO'!$L$6:$U$138,9,FALSE))</f>
        <v/>
      </c>
      <c r="C437" s="103" t="str">
        <f t="shared" si="30"/>
        <v/>
      </c>
      <c r="D437" s="59" t="str">
        <f t="shared" si="31"/>
        <v/>
      </c>
      <c r="E437" s="68"/>
      <c r="F437" s="106" t="str">
        <f t="shared" si="32"/>
        <v/>
      </c>
      <c r="G437" s="101"/>
      <c r="H437" s="101"/>
      <c r="I437" s="101"/>
      <c r="J437" s="68"/>
      <c r="L437" t="str">
        <f t="shared" si="33"/>
        <v/>
      </c>
      <c r="M437" t="str">
        <f t="shared" si="34"/>
        <v/>
      </c>
    </row>
    <row r="438" spans="1:13">
      <c r="A438" s="60" t="str">
        <f>IF(E438="","",VLOOKUP('OPĆI DIO'!$C$3,'OPĆI DIO'!$L$6:$U$138,10,FALSE))</f>
        <v/>
      </c>
      <c r="B438" s="60" t="str">
        <f>IF(E438="","",VLOOKUP('OPĆI DIO'!$C$3,'OPĆI DIO'!$L$6:$U$138,9,FALSE))</f>
        <v/>
      </c>
      <c r="C438" s="103" t="str">
        <f t="shared" si="30"/>
        <v/>
      </c>
      <c r="D438" s="59" t="str">
        <f t="shared" si="31"/>
        <v/>
      </c>
      <c r="E438" s="68"/>
      <c r="F438" s="106" t="str">
        <f t="shared" si="32"/>
        <v/>
      </c>
      <c r="G438" s="101"/>
      <c r="H438" s="101"/>
      <c r="I438" s="101"/>
      <c r="J438" s="68"/>
      <c r="L438" t="str">
        <f t="shared" si="33"/>
        <v/>
      </c>
      <c r="M438" t="str">
        <f t="shared" si="34"/>
        <v/>
      </c>
    </row>
    <row r="439" spans="1:13">
      <c r="A439" s="60" t="str">
        <f>IF(E439="","",VLOOKUP('OPĆI DIO'!$C$3,'OPĆI DIO'!$L$6:$U$138,10,FALSE))</f>
        <v/>
      </c>
      <c r="B439" s="60" t="str">
        <f>IF(E439="","",VLOOKUP('OPĆI DIO'!$C$3,'OPĆI DIO'!$L$6:$U$138,9,FALSE))</f>
        <v/>
      </c>
      <c r="C439" s="103" t="str">
        <f t="shared" si="30"/>
        <v/>
      </c>
      <c r="D439" s="59" t="str">
        <f t="shared" si="31"/>
        <v/>
      </c>
      <c r="E439" s="68"/>
      <c r="F439" s="106" t="str">
        <f t="shared" si="32"/>
        <v/>
      </c>
      <c r="G439" s="101"/>
      <c r="H439" s="101"/>
      <c r="I439" s="101"/>
      <c r="J439" s="68"/>
      <c r="L439" t="str">
        <f t="shared" si="33"/>
        <v/>
      </c>
      <c r="M439" t="str">
        <f t="shared" si="34"/>
        <v/>
      </c>
    </row>
    <row r="440" spans="1:13">
      <c r="A440" s="60" t="str">
        <f>IF(E440="","",VLOOKUP('OPĆI DIO'!$C$3,'OPĆI DIO'!$L$6:$U$138,10,FALSE))</f>
        <v/>
      </c>
      <c r="B440" s="60" t="str">
        <f>IF(E440="","",VLOOKUP('OPĆI DIO'!$C$3,'OPĆI DIO'!$L$6:$U$138,9,FALSE))</f>
        <v/>
      </c>
      <c r="C440" s="103" t="str">
        <f t="shared" si="30"/>
        <v/>
      </c>
      <c r="D440" s="59" t="str">
        <f t="shared" si="31"/>
        <v/>
      </c>
      <c r="E440" s="68"/>
      <c r="F440" s="106" t="str">
        <f t="shared" si="32"/>
        <v/>
      </c>
      <c r="G440" s="101"/>
      <c r="H440" s="101"/>
      <c r="I440" s="101"/>
      <c r="J440" s="68"/>
      <c r="L440" t="str">
        <f t="shared" si="33"/>
        <v/>
      </c>
      <c r="M440" t="str">
        <f t="shared" si="34"/>
        <v/>
      </c>
    </row>
    <row r="441" spans="1:13">
      <c r="A441" s="60" t="str">
        <f>IF(E441="","",VLOOKUP('OPĆI DIO'!$C$3,'OPĆI DIO'!$L$6:$U$138,10,FALSE))</f>
        <v/>
      </c>
      <c r="B441" s="60" t="str">
        <f>IF(E441="","",VLOOKUP('OPĆI DIO'!$C$3,'OPĆI DIO'!$L$6:$U$138,9,FALSE))</f>
        <v/>
      </c>
      <c r="C441" s="103" t="str">
        <f t="shared" si="30"/>
        <v/>
      </c>
      <c r="D441" s="59" t="str">
        <f t="shared" si="31"/>
        <v/>
      </c>
      <c r="E441" s="68"/>
      <c r="F441" s="106" t="str">
        <f t="shared" si="32"/>
        <v/>
      </c>
      <c r="G441" s="101"/>
      <c r="H441" s="101"/>
      <c r="I441" s="101"/>
      <c r="J441" s="68"/>
      <c r="L441" t="str">
        <f t="shared" si="33"/>
        <v/>
      </c>
      <c r="M441" t="str">
        <f t="shared" si="34"/>
        <v/>
      </c>
    </row>
    <row r="442" spans="1:13">
      <c r="A442" s="60" t="str">
        <f>IF(E442="","",VLOOKUP('OPĆI DIO'!$C$3,'OPĆI DIO'!$L$6:$U$138,10,FALSE))</f>
        <v/>
      </c>
      <c r="B442" s="60" t="str">
        <f>IF(E442="","",VLOOKUP('OPĆI DIO'!$C$3,'OPĆI DIO'!$L$6:$U$138,9,FALSE))</f>
        <v/>
      </c>
      <c r="C442" s="103" t="str">
        <f t="shared" si="30"/>
        <v/>
      </c>
      <c r="D442" s="59" t="str">
        <f t="shared" si="31"/>
        <v/>
      </c>
      <c r="E442" s="68"/>
      <c r="F442" s="106" t="str">
        <f t="shared" si="32"/>
        <v/>
      </c>
      <c r="G442" s="101"/>
      <c r="H442" s="101"/>
      <c r="I442" s="101"/>
      <c r="J442" s="68"/>
      <c r="L442" t="str">
        <f t="shared" si="33"/>
        <v/>
      </c>
      <c r="M442" t="str">
        <f t="shared" si="34"/>
        <v/>
      </c>
    </row>
    <row r="443" spans="1:13">
      <c r="A443" s="60" t="str">
        <f>IF(E443="","",VLOOKUP('OPĆI DIO'!$C$3,'OPĆI DIO'!$L$6:$U$138,10,FALSE))</f>
        <v/>
      </c>
      <c r="B443" s="60" t="str">
        <f>IF(E443="","",VLOOKUP('OPĆI DIO'!$C$3,'OPĆI DIO'!$L$6:$U$138,9,FALSE))</f>
        <v/>
      </c>
      <c r="C443" s="103" t="str">
        <f t="shared" si="30"/>
        <v/>
      </c>
      <c r="D443" s="59" t="str">
        <f t="shared" si="31"/>
        <v/>
      </c>
      <c r="E443" s="68"/>
      <c r="F443" s="106" t="str">
        <f t="shared" si="32"/>
        <v/>
      </c>
      <c r="G443" s="101"/>
      <c r="H443" s="101"/>
      <c r="I443" s="101"/>
      <c r="J443" s="68"/>
      <c r="L443" t="str">
        <f t="shared" si="33"/>
        <v/>
      </c>
      <c r="M443" t="str">
        <f t="shared" si="34"/>
        <v/>
      </c>
    </row>
    <row r="444" spans="1:13">
      <c r="A444" s="60" t="str">
        <f>IF(E444="","",VLOOKUP('OPĆI DIO'!$C$3,'OPĆI DIO'!$L$6:$U$138,10,FALSE))</f>
        <v/>
      </c>
      <c r="B444" s="60" t="str">
        <f>IF(E444="","",VLOOKUP('OPĆI DIO'!$C$3,'OPĆI DIO'!$L$6:$U$138,9,FALSE))</f>
        <v/>
      </c>
      <c r="C444" s="103" t="str">
        <f t="shared" si="30"/>
        <v/>
      </c>
      <c r="D444" s="59" t="str">
        <f t="shared" si="31"/>
        <v/>
      </c>
      <c r="E444" s="68"/>
      <c r="F444" s="106" t="str">
        <f t="shared" si="32"/>
        <v/>
      </c>
      <c r="G444" s="101"/>
      <c r="H444" s="101"/>
      <c r="I444" s="101"/>
      <c r="J444" s="68"/>
      <c r="L444" t="str">
        <f t="shared" si="33"/>
        <v/>
      </c>
      <c r="M444" t="str">
        <f t="shared" si="34"/>
        <v/>
      </c>
    </row>
    <row r="445" spans="1:13">
      <c r="A445" s="60" t="str">
        <f>IF(E445="","",VLOOKUP('OPĆI DIO'!$C$3,'OPĆI DIO'!$L$6:$U$138,10,FALSE))</f>
        <v/>
      </c>
      <c r="B445" s="60" t="str">
        <f>IF(E445="","",VLOOKUP('OPĆI DIO'!$C$3,'OPĆI DIO'!$L$6:$U$138,9,FALSE))</f>
        <v/>
      </c>
      <c r="C445" s="103" t="str">
        <f t="shared" si="30"/>
        <v/>
      </c>
      <c r="D445" s="59" t="str">
        <f t="shared" si="31"/>
        <v/>
      </c>
      <c r="E445" s="68"/>
      <c r="F445" s="106" t="str">
        <f t="shared" si="32"/>
        <v/>
      </c>
      <c r="G445" s="101"/>
      <c r="H445" s="101"/>
      <c r="I445" s="101"/>
      <c r="J445" s="68"/>
      <c r="L445" t="str">
        <f t="shared" si="33"/>
        <v/>
      </c>
      <c r="M445" t="str">
        <f t="shared" si="34"/>
        <v/>
      </c>
    </row>
    <row r="446" spans="1:13">
      <c r="A446" s="60" t="str">
        <f>IF(E446="","",VLOOKUP('OPĆI DIO'!$C$3,'OPĆI DIO'!$L$6:$U$138,10,FALSE))</f>
        <v/>
      </c>
      <c r="B446" s="60" t="str">
        <f>IF(E446="","",VLOOKUP('OPĆI DIO'!$C$3,'OPĆI DIO'!$L$6:$U$138,9,FALSE))</f>
        <v/>
      </c>
      <c r="C446" s="103" t="str">
        <f t="shared" si="30"/>
        <v/>
      </c>
      <c r="D446" s="59" t="str">
        <f t="shared" si="31"/>
        <v/>
      </c>
      <c r="E446" s="68"/>
      <c r="F446" s="106" t="str">
        <f t="shared" si="32"/>
        <v/>
      </c>
      <c r="G446" s="101"/>
      <c r="H446" s="101"/>
      <c r="I446" s="101"/>
      <c r="J446" s="68"/>
      <c r="L446" t="str">
        <f t="shared" si="33"/>
        <v/>
      </c>
      <c r="M446" t="str">
        <f t="shared" si="34"/>
        <v/>
      </c>
    </row>
    <row r="447" spans="1:13">
      <c r="A447" s="60" t="str">
        <f>IF(E447="","",VLOOKUP('OPĆI DIO'!$C$3,'OPĆI DIO'!$L$6:$U$138,10,FALSE))</f>
        <v/>
      </c>
      <c r="B447" s="60" t="str">
        <f>IF(E447="","",VLOOKUP('OPĆI DIO'!$C$3,'OPĆI DIO'!$L$6:$U$138,9,FALSE))</f>
        <v/>
      </c>
      <c r="C447" s="103" t="str">
        <f t="shared" si="30"/>
        <v/>
      </c>
      <c r="D447" s="59" t="str">
        <f t="shared" si="31"/>
        <v/>
      </c>
      <c r="E447" s="68"/>
      <c r="F447" s="106" t="str">
        <f t="shared" si="32"/>
        <v/>
      </c>
      <c r="G447" s="101"/>
      <c r="H447" s="101"/>
      <c r="I447" s="101"/>
      <c r="J447" s="68"/>
      <c r="L447" t="str">
        <f t="shared" si="33"/>
        <v/>
      </c>
      <c r="M447" t="str">
        <f t="shared" si="34"/>
        <v/>
      </c>
    </row>
    <row r="448" spans="1:13">
      <c r="A448" s="60" t="str">
        <f>IF(E448="","",VLOOKUP('OPĆI DIO'!$C$3,'OPĆI DIO'!$L$6:$U$138,10,FALSE))</f>
        <v/>
      </c>
      <c r="B448" s="60" t="str">
        <f>IF(E448="","",VLOOKUP('OPĆI DIO'!$C$3,'OPĆI DIO'!$L$6:$U$138,9,FALSE))</f>
        <v/>
      </c>
      <c r="C448" s="103" t="str">
        <f t="shared" si="30"/>
        <v/>
      </c>
      <c r="D448" s="59" t="str">
        <f t="shared" si="31"/>
        <v/>
      </c>
      <c r="E448" s="68"/>
      <c r="F448" s="106" t="str">
        <f t="shared" si="32"/>
        <v/>
      </c>
      <c r="G448" s="101"/>
      <c r="H448" s="101"/>
      <c r="I448" s="101"/>
      <c r="J448" s="68"/>
      <c r="L448" t="str">
        <f t="shared" si="33"/>
        <v/>
      </c>
      <c r="M448" t="str">
        <f t="shared" si="34"/>
        <v/>
      </c>
    </row>
    <row r="449" spans="1:13">
      <c r="A449" s="60" t="str">
        <f>IF(E449="","",VLOOKUP('OPĆI DIO'!$C$3,'OPĆI DIO'!$L$6:$U$138,10,FALSE))</f>
        <v/>
      </c>
      <c r="B449" s="60" t="str">
        <f>IF(E449="","",VLOOKUP('OPĆI DIO'!$C$3,'OPĆI DIO'!$L$6:$U$138,9,FALSE))</f>
        <v/>
      </c>
      <c r="C449" s="103" t="str">
        <f t="shared" si="30"/>
        <v/>
      </c>
      <c r="D449" s="59" t="str">
        <f t="shared" si="31"/>
        <v/>
      </c>
      <c r="E449" s="68"/>
      <c r="F449" s="106" t="str">
        <f t="shared" si="32"/>
        <v/>
      </c>
      <c r="G449" s="101"/>
      <c r="H449" s="101"/>
      <c r="I449" s="101"/>
      <c r="J449" s="68"/>
      <c r="L449" t="str">
        <f t="shared" si="33"/>
        <v/>
      </c>
      <c r="M449" t="str">
        <f t="shared" si="34"/>
        <v/>
      </c>
    </row>
    <row r="450" spans="1:13">
      <c r="A450" s="60" t="str">
        <f>IF(E450="","",VLOOKUP('OPĆI DIO'!$C$3,'OPĆI DIO'!$L$6:$U$138,10,FALSE))</f>
        <v/>
      </c>
      <c r="B450" s="60" t="str">
        <f>IF(E450="","",VLOOKUP('OPĆI DIO'!$C$3,'OPĆI DIO'!$L$6:$U$138,9,FALSE))</f>
        <v/>
      </c>
      <c r="C450" s="103" t="str">
        <f t="shared" si="30"/>
        <v/>
      </c>
      <c r="D450" s="59" t="str">
        <f t="shared" si="31"/>
        <v/>
      </c>
      <c r="E450" s="68"/>
      <c r="F450" s="106" t="str">
        <f t="shared" si="32"/>
        <v/>
      </c>
      <c r="G450" s="101"/>
      <c r="H450" s="101"/>
      <c r="I450" s="101"/>
      <c r="J450" s="68"/>
      <c r="L450" t="str">
        <f t="shared" si="33"/>
        <v/>
      </c>
      <c r="M450" t="str">
        <f t="shared" si="34"/>
        <v/>
      </c>
    </row>
    <row r="451" spans="1:13">
      <c r="A451" s="60" t="str">
        <f>IF(E451="","",VLOOKUP('OPĆI DIO'!$C$3,'OPĆI DIO'!$L$6:$U$138,10,FALSE))</f>
        <v/>
      </c>
      <c r="B451" s="60" t="str">
        <f>IF(E451="","",VLOOKUP('OPĆI DIO'!$C$3,'OPĆI DIO'!$L$6:$U$138,9,FALSE))</f>
        <v/>
      </c>
      <c r="C451" s="103" t="str">
        <f t="shared" ref="C451:C501" si="35">IFERROR(VLOOKUP(E451,$R$6:$U$113,3,FALSE),"")</f>
        <v/>
      </c>
      <c r="D451" s="59" t="str">
        <f t="shared" ref="D451:D501" si="36">IFERROR(VLOOKUP(E451,$R$6:$U$113,4,FALSE),"")</f>
        <v/>
      </c>
      <c r="E451" s="68"/>
      <c r="F451" s="106" t="str">
        <f t="shared" ref="F451:F501" si="37">IFERROR(VLOOKUP(E451,$R$6:$U$113,2,FALSE),"")</f>
        <v/>
      </c>
      <c r="G451" s="101"/>
      <c r="H451" s="101"/>
      <c r="I451" s="101"/>
      <c r="J451" s="68"/>
      <c r="L451" t="str">
        <f t="shared" si="33"/>
        <v/>
      </c>
      <c r="M451" t="str">
        <f t="shared" si="34"/>
        <v/>
      </c>
    </row>
    <row r="452" spans="1:13">
      <c r="A452" s="60" t="str">
        <f>IF(E452="","",VLOOKUP('OPĆI DIO'!$C$3,'OPĆI DIO'!$L$6:$U$138,10,FALSE))</f>
        <v/>
      </c>
      <c r="B452" s="60" t="str">
        <f>IF(E452="","",VLOOKUP('OPĆI DIO'!$C$3,'OPĆI DIO'!$L$6:$U$138,9,FALSE))</f>
        <v/>
      </c>
      <c r="C452" s="103" t="str">
        <f t="shared" si="35"/>
        <v/>
      </c>
      <c r="D452" s="59" t="str">
        <f t="shared" si="36"/>
        <v/>
      </c>
      <c r="E452" s="68"/>
      <c r="F452" s="106" t="str">
        <f t="shared" si="37"/>
        <v/>
      </c>
      <c r="G452" s="101"/>
      <c r="H452" s="101"/>
      <c r="I452" s="101"/>
      <c r="J452" s="68"/>
      <c r="L452" t="str">
        <f t="shared" ref="L452:L501" si="38">LEFT(E452,2)</f>
        <v/>
      </c>
      <c r="M452" t="str">
        <f t="shared" ref="M452:M501" si="39">LEFT(E452,3)</f>
        <v/>
      </c>
    </row>
    <row r="453" spans="1:13">
      <c r="A453" s="60" t="str">
        <f>IF(E453="","",VLOOKUP('OPĆI DIO'!$C$3,'OPĆI DIO'!$L$6:$U$138,10,FALSE))</f>
        <v/>
      </c>
      <c r="B453" s="60" t="str">
        <f>IF(E453="","",VLOOKUP('OPĆI DIO'!$C$3,'OPĆI DIO'!$L$6:$U$138,9,FALSE))</f>
        <v/>
      </c>
      <c r="C453" s="103" t="str">
        <f t="shared" si="35"/>
        <v/>
      </c>
      <c r="D453" s="59" t="str">
        <f t="shared" si="36"/>
        <v/>
      </c>
      <c r="E453" s="68"/>
      <c r="F453" s="106" t="str">
        <f t="shared" si="37"/>
        <v/>
      </c>
      <c r="G453" s="101"/>
      <c r="H453" s="101"/>
      <c r="I453" s="101"/>
      <c r="J453" s="68"/>
      <c r="L453" t="str">
        <f t="shared" si="38"/>
        <v/>
      </c>
      <c r="M453" t="str">
        <f t="shared" si="39"/>
        <v/>
      </c>
    </row>
    <row r="454" spans="1:13">
      <c r="A454" s="60" t="str">
        <f>IF(E454="","",VLOOKUP('OPĆI DIO'!$C$3,'OPĆI DIO'!$L$6:$U$138,10,FALSE))</f>
        <v/>
      </c>
      <c r="B454" s="60" t="str">
        <f>IF(E454="","",VLOOKUP('OPĆI DIO'!$C$3,'OPĆI DIO'!$L$6:$U$138,9,FALSE))</f>
        <v/>
      </c>
      <c r="C454" s="103" t="str">
        <f t="shared" si="35"/>
        <v/>
      </c>
      <c r="D454" s="59" t="str">
        <f t="shared" si="36"/>
        <v/>
      </c>
      <c r="E454" s="68"/>
      <c r="F454" s="106" t="str">
        <f t="shared" si="37"/>
        <v/>
      </c>
      <c r="G454" s="101"/>
      <c r="H454" s="101"/>
      <c r="I454" s="101"/>
      <c r="J454" s="68"/>
      <c r="L454" t="str">
        <f t="shared" si="38"/>
        <v/>
      </c>
      <c r="M454" t="str">
        <f t="shared" si="39"/>
        <v/>
      </c>
    </row>
    <row r="455" spans="1:13">
      <c r="A455" s="60" t="str">
        <f>IF(E455="","",VLOOKUP('OPĆI DIO'!$C$3,'OPĆI DIO'!$L$6:$U$138,10,FALSE))</f>
        <v/>
      </c>
      <c r="B455" s="60" t="str">
        <f>IF(E455="","",VLOOKUP('OPĆI DIO'!$C$3,'OPĆI DIO'!$L$6:$U$138,9,FALSE))</f>
        <v/>
      </c>
      <c r="C455" s="103" t="str">
        <f t="shared" si="35"/>
        <v/>
      </c>
      <c r="D455" s="59" t="str">
        <f t="shared" si="36"/>
        <v/>
      </c>
      <c r="E455" s="68"/>
      <c r="F455" s="106" t="str">
        <f t="shared" si="37"/>
        <v/>
      </c>
      <c r="G455" s="101"/>
      <c r="H455" s="101"/>
      <c r="I455" s="101"/>
      <c r="J455" s="68"/>
      <c r="L455" t="str">
        <f t="shared" si="38"/>
        <v/>
      </c>
      <c r="M455" t="str">
        <f t="shared" si="39"/>
        <v/>
      </c>
    </row>
    <row r="456" spans="1:13">
      <c r="A456" s="60" t="str">
        <f>IF(E456="","",VLOOKUP('OPĆI DIO'!$C$3,'OPĆI DIO'!$L$6:$U$138,10,FALSE))</f>
        <v/>
      </c>
      <c r="B456" s="60" t="str">
        <f>IF(E456="","",VLOOKUP('OPĆI DIO'!$C$3,'OPĆI DIO'!$L$6:$U$138,9,FALSE))</f>
        <v/>
      </c>
      <c r="C456" s="103" t="str">
        <f t="shared" si="35"/>
        <v/>
      </c>
      <c r="D456" s="59" t="str">
        <f t="shared" si="36"/>
        <v/>
      </c>
      <c r="E456" s="68"/>
      <c r="F456" s="106" t="str">
        <f t="shared" si="37"/>
        <v/>
      </c>
      <c r="G456" s="101"/>
      <c r="H456" s="101"/>
      <c r="I456" s="101"/>
      <c r="J456" s="68"/>
      <c r="L456" t="str">
        <f t="shared" si="38"/>
        <v/>
      </c>
      <c r="M456" t="str">
        <f t="shared" si="39"/>
        <v/>
      </c>
    </row>
    <row r="457" spans="1:13">
      <c r="A457" s="60" t="str">
        <f>IF(E457="","",VLOOKUP('OPĆI DIO'!$C$3,'OPĆI DIO'!$L$6:$U$138,10,FALSE))</f>
        <v/>
      </c>
      <c r="B457" s="60" t="str">
        <f>IF(E457="","",VLOOKUP('OPĆI DIO'!$C$3,'OPĆI DIO'!$L$6:$U$138,9,FALSE))</f>
        <v/>
      </c>
      <c r="C457" s="103" t="str">
        <f t="shared" si="35"/>
        <v/>
      </c>
      <c r="D457" s="59" t="str">
        <f t="shared" si="36"/>
        <v/>
      </c>
      <c r="E457" s="68"/>
      <c r="F457" s="106" t="str">
        <f t="shared" si="37"/>
        <v/>
      </c>
      <c r="G457" s="101"/>
      <c r="H457" s="101"/>
      <c r="I457" s="101"/>
      <c r="J457" s="68"/>
      <c r="L457" t="str">
        <f t="shared" si="38"/>
        <v/>
      </c>
      <c r="M457" t="str">
        <f t="shared" si="39"/>
        <v/>
      </c>
    </row>
    <row r="458" spans="1:13">
      <c r="A458" s="60" t="str">
        <f>IF(E458="","",VLOOKUP('OPĆI DIO'!$C$3,'OPĆI DIO'!$L$6:$U$138,10,FALSE))</f>
        <v/>
      </c>
      <c r="B458" s="60" t="str">
        <f>IF(E458="","",VLOOKUP('OPĆI DIO'!$C$3,'OPĆI DIO'!$L$6:$U$138,9,FALSE))</f>
        <v/>
      </c>
      <c r="C458" s="103" t="str">
        <f t="shared" si="35"/>
        <v/>
      </c>
      <c r="D458" s="59" t="str">
        <f t="shared" si="36"/>
        <v/>
      </c>
      <c r="E458" s="68"/>
      <c r="F458" s="106" t="str">
        <f t="shared" si="37"/>
        <v/>
      </c>
      <c r="G458" s="101"/>
      <c r="H458" s="101"/>
      <c r="I458" s="101"/>
      <c r="J458" s="68"/>
      <c r="L458" t="str">
        <f t="shared" si="38"/>
        <v/>
      </c>
      <c r="M458" t="str">
        <f t="shared" si="39"/>
        <v/>
      </c>
    </row>
    <row r="459" spans="1:13">
      <c r="A459" s="60" t="str">
        <f>IF(E459="","",VLOOKUP('OPĆI DIO'!$C$3,'OPĆI DIO'!$L$6:$U$138,10,FALSE))</f>
        <v/>
      </c>
      <c r="B459" s="60" t="str">
        <f>IF(E459="","",VLOOKUP('OPĆI DIO'!$C$3,'OPĆI DIO'!$L$6:$U$138,9,FALSE))</f>
        <v/>
      </c>
      <c r="C459" s="103" t="str">
        <f t="shared" si="35"/>
        <v/>
      </c>
      <c r="D459" s="59" t="str">
        <f t="shared" si="36"/>
        <v/>
      </c>
      <c r="E459" s="68"/>
      <c r="F459" s="106" t="str">
        <f t="shared" si="37"/>
        <v/>
      </c>
      <c r="G459" s="101"/>
      <c r="H459" s="101"/>
      <c r="I459" s="101"/>
      <c r="J459" s="68"/>
      <c r="L459" t="str">
        <f t="shared" si="38"/>
        <v/>
      </c>
      <c r="M459" t="str">
        <f t="shared" si="39"/>
        <v/>
      </c>
    </row>
    <row r="460" spans="1:13">
      <c r="A460" s="60" t="str">
        <f>IF(E460="","",VLOOKUP('OPĆI DIO'!$C$3,'OPĆI DIO'!$L$6:$U$138,10,FALSE))</f>
        <v/>
      </c>
      <c r="B460" s="60" t="str">
        <f>IF(E460="","",VLOOKUP('OPĆI DIO'!$C$3,'OPĆI DIO'!$L$6:$U$138,9,FALSE))</f>
        <v/>
      </c>
      <c r="C460" s="103" t="str">
        <f t="shared" si="35"/>
        <v/>
      </c>
      <c r="D460" s="59" t="str">
        <f t="shared" si="36"/>
        <v/>
      </c>
      <c r="E460" s="68"/>
      <c r="F460" s="106" t="str">
        <f t="shared" si="37"/>
        <v/>
      </c>
      <c r="G460" s="101"/>
      <c r="H460" s="101"/>
      <c r="I460" s="101"/>
      <c r="J460" s="68"/>
      <c r="L460" t="str">
        <f t="shared" si="38"/>
        <v/>
      </c>
      <c r="M460" t="str">
        <f t="shared" si="39"/>
        <v/>
      </c>
    </row>
    <row r="461" spans="1:13">
      <c r="A461" s="60" t="str">
        <f>IF(E461="","",VLOOKUP('OPĆI DIO'!$C$3,'OPĆI DIO'!$L$6:$U$138,10,FALSE))</f>
        <v/>
      </c>
      <c r="B461" s="60" t="str">
        <f>IF(E461="","",VLOOKUP('OPĆI DIO'!$C$3,'OPĆI DIO'!$L$6:$U$138,9,FALSE))</f>
        <v/>
      </c>
      <c r="C461" s="103" t="str">
        <f t="shared" si="35"/>
        <v/>
      </c>
      <c r="D461" s="59" t="str">
        <f t="shared" si="36"/>
        <v/>
      </c>
      <c r="E461" s="68"/>
      <c r="F461" s="106" t="str">
        <f t="shared" si="37"/>
        <v/>
      </c>
      <c r="G461" s="101"/>
      <c r="H461" s="101"/>
      <c r="I461" s="101"/>
      <c r="J461" s="68"/>
      <c r="L461" t="str">
        <f t="shared" si="38"/>
        <v/>
      </c>
      <c r="M461" t="str">
        <f t="shared" si="39"/>
        <v/>
      </c>
    </row>
    <row r="462" spans="1:13">
      <c r="A462" s="60" t="str">
        <f>IF(E462="","",VLOOKUP('OPĆI DIO'!$C$3,'OPĆI DIO'!$L$6:$U$138,10,FALSE))</f>
        <v/>
      </c>
      <c r="B462" s="60" t="str">
        <f>IF(E462="","",VLOOKUP('OPĆI DIO'!$C$3,'OPĆI DIO'!$L$6:$U$138,9,FALSE))</f>
        <v/>
      </c>
      <c r="C462" s="103" t="str">
        <f t="shared" si="35"/>
        <v/>
      </c>
      <c r="D462" s="59" t="str">
        <f t="shared" si="36"/>
        <v/>
      </c>
      <c r="E462" s="68"/>
      <c r="F462" s="106" t="str">
        <f t="shared" si="37"/>
        <v/>
      </c>
      <c r="G462" s="101"/>
      <c r="H462" s="101"/>
      <c r="I462" s="101"/>
      <c r="J462" s="68"/>
      <c r="L462" t="str">
        <f t="shared" si="38"/>
        <v/>
      </c>
      <c r="M462" t="str">
        <f t="shared" si="39"/>
        <v/>
      </c>
    </row>
    <row r="463" spans="1:13">
      <c r="A463" s="60" t="str">
        <f>IF(E463="","",VLOOKUP('OPĆI DIO'!$C$3,'OPĆI DIO'!$L$6:$U$138,10,FALSE))</f>
        <v/>
      </c>
      <c r="B463" s="60" t="str">
        <f>IF(E463="","",VLOOKUP('OPĆI DIO'!$C$3,'OPĆI DIO'!$L$6:$U$138,9,FALSE))</f>
        <v/>
      </c>
      <c r="C463" s="103" t="str">
        <f t="shared" si="35"/>
        <v/>
      </c>
      <c r="D463" s="59" t="str">
        <f t="shared" si="36"/>
        <v/>
      </c>
      <c r="E463" s="68"/>
      <c r="F463" s="106" t="str">
        <f t="shared" si="37"/>
        <v/>
      </c>
      <c r="G463" s="101"/>
      <c r="H463" s="101"/>
      <c r="I463" s="101"/>
      <c r="J463" s="68"/>
      <c r="L463" t="str">
        <f t="shared" si="38"/>
        <v/>
      </c>
      <c r="M463" t="str">
        <f t="shared" si="39"/>
        <v/>
      </c>
    </row>
    <row r="464" spans="1:13">
      <c r="A464" s="60" t="str">
        <f>IF(E464="","",VLOOKUP('OPĆI DIO'!$C$3,'OPĆI DIO'!$L$6:$U$138,10,FALSE))</f>
        <v/>
      </c>
      <c r="B464" s="60" t="str">
        <f>IF(E464="","",VLOOKUP('OPĆI DIO'!$C$3,'OPĆI DIO'!$L$6:$U$138,9,FALSE))</f>
        <v/>
      </c>
      <c r="C464" s="103" t="str">
        <f t="shared" si="35"/>
        <v/>
      </c>
      <c r="D464" s="59" t="str">
        <f t="shared" si="36"/>
        <v/>
      </c>
      <c r="E464" s="68"/>
      <c r="F464" s="106" t="str">
        <f t="shared" si="37"/>
        <v/>
      </c>
      <c r="G464" s="101"/>
      <c r="H464" s="101"/>
      <c r="I464" s="101"/>
      <c r="J464" s="68"/>
      <c r="L464" t="str">
        <f t="shared" si="38"/>
        <v/>
      </c>
      <c r="M464" t="str">
        <f t="shared" si="39"/>
        <v/>
      </c>
    </row>
    <row r="465" spans="1:13">
      <c r="A465" s="60" t="str">
        <f>IF(E465="","",VLOOKUP('OPĆI DIO'!$C$3,'OPĆI DIO'!$L$6:$U$138,10,FALSE))</f>
        <v/>
      </c>
      <c r="B465" s="60" t="str">
        <f>IF(E465="","",VLOOKUP('OPĆI DIO'!$C$3,'OPĆI DIO'!$L$6:$U$138,9,FALSE))</f>
        <v/>
      </c>
      <c r="C465" s="103" t="str">
        <f t="shared" si="35"/>
        <v/>
      </c>
      <c r="D465" s="59" t="str">
        <f t="shared" si="36"/>
        <v/>
      </c>
      <c r="E465" s="68"/>
      <c r="F465" s="106" t="str">
        <f t="shared" si="37"/>
        <v/>
      </c>
      <c r="G465" s="101"/>
      <c r="H465" s="101"/>
      <c r="I465" s="101"/>
      <c r="J465" s="68"/>
      <c r="L465" t="str">
        <f t="shared" si="38"/>
        <v/>
      </c>
      <c r="M465" t="str">
        <f t="shared" si="39"/>
        <v/>
      </c>
    </row>
    <row r="466" spans="1:13">
      <c r="A466" s="60" t="str">
        <f>IF(E466="","",VLOOKUP('OPĆI DIO'!$C$3,'OPĆI DIO'!$L$6:$U$138,10,FALSE))</f>
        <v/>
      </c>
      <c r="B466" s="60" t="str">
        <f>IF(E466="","",VLOOKUP('OPĆI DIO'!$C$3,'OPĆI DIO'!$L$6:$U$138,9,FALSE))</f>
        <v/>
      </c>
      <c r="C466" s="103" t="str">
        <f t="shared" si="35"/>
        <v/>
      </c>
      <c r="D466" s="59" t="str">
        <f t="shared" si="36"/>
        <v/>
      </c>
      <c r="E466" s="68"/>
      <c r="F466" s="106" t="str">
        <f t="shared" si="37"/>
        <v/>
      </c>
      <c r="G466" s="101"/>
      <c r="H466" s="101"/>
      <c r="I466" s="101"/>
      <c r="J466" s="68"/>
      <c r="L466" t="str">
        <f t="shared" si="38"/>
        <v/>
      </c>
      <c r="M466" t="str">
        <f t="shared" si="39"/>
        <v/>
      </c>
    </row>
    <row r="467" spans="1:13">
      <c r="A467" s="60" t="str">
        <f>IF(E467="","",VLOOKUP('OPĆI DIO'!$C$3,'OPĆI DIO'!$L$6:$U$138,10,FALSE))</f>
        <v/>
      </c>
      <c r="B467" s="60" t="str">
        <f>IF(E467="","",VLOOKUP('OPĆI DIO'!$C$3,'OPĆI DIO'!$L$6:$U$138,9,FALSE))</f>
        <v/>
      </c>
      <c r="C467" s="103" t="str">
        <f t="shared" si="35"/>
        <v/>
      </c>
      <c r="D467" s="59" t="str">
        <f t="shared" si="36"/>
        <v/>
      </c>
      <c r="E467" s="68"/>
      <c r="F467" s="106" t="str">
        <f t="shared" si="37"/>
        <v/>
      </c>
      <c r="G467" s="101"/>
      <c r="H467" s="101"/>
      <c r="I467" s="101"/>
      <c r="J467" s="68"/>
      <c r="L467" t="str">
        <f t="shared" si="38"/>
        <v/>
      </c>
      <c r="M467" t="str">
        <f t="shared" si="39"/>
        <v/>
      </c>
    </row>
    <row r="468" spans="1:13">
      <c r="A468" s="60" t="str">
        <f>IF(E468="","",VLOOKUP('OPĆI DIO'!$C$3,'OPĆI DIO'!$L$6:$U$138,10,FALSE))</f>
        <v/>
      </c>
      <c r="B468" s="60" t="str">
        <f>IF(E468="","",VLOOKUP('OPĆI DIO'!$C$3,'OPĆI DIO'!$L$6:$U$138,9,FALSE))</f>
        <v/>
      </c>
      <c r="C468" s="103" t="str">
        <f t="shared" si="35"/>
        <v/>
      </c>
      <c r="D468" s="59" t="str">
        <f t="shared" si="36"/>
        <v/>
      </c>
      <c r="E468" s="68"/>
      <c r="F468" s="106" t="str">
        <f t="shared" si="37"/>
        <v/>
      </c>
      <c r="G468" s="101"/>
      <c r="H468" s="101"/>
      <c r="I468" s="101"/>
      <c r="J468" s="68"/>
      <c r="L468" t="str">
        <f t="shared" si="38"/>
        <v/>
      </c>
      <c r="M468" t="str">
        <f t="shared" si="39"/>
        <v/>
      </c>
    </row>
    <row r="469" spans="1:13">
      <c r="A469" s="60" t="str">
        <f>IF(E469="","",VLOOKUP('OPĆI DIO'!$C$3,'OPĆI DIO'!$L$6:$U$138,10,FALSE))</f>
        <v/>
      </c>
      <c r="B469" s="60" t="str">
        <f>IF(E469="","",VLOOKUP('OPĆI DIO'!$C$3,'OPĆI DIO'!$L$6:$U$138,9,FALSE))</f>
        <v/>
      </c>
      <c r="C469" s="103" t="str">
        <f t="shared" si="35"/>
        <v/>
      </c>
      <c r="D469" s="59" t="str">
        <f t="shared" si="36"/>
        <v/>
      </c>
      <c r="E469" s="68"/>
      <c r="F469" s="106" t="str">
        <f t="shared" si="37"/>
        <v/>
      </c>
      <c r="G469" s="101"/>
      <c r="H469" s="101"/>
      <c r="I469" s="101"/>
      <c r="J469" s="68"/>
      <c r="L469" t="str">
        <f t="shared" si="38"/>
        <v/>
      </c>
      <c r="M469" t="str">
        <f t="shared" si="39"/>
        <v/>
      </c>
    </row>
    <row r="470" spans="1:13">
      <c r="A470" s="60" t="str">
        <f>IF(E470="","",VLOOKUP('OPĆI DIO'!$C$3,'OPĆI DIO'!$L$6:$U$138,10,FALSE))</f>
        <v/>
      </c>
      <c r="B470" s="60" t="str">
        <f>IF(E470="","",VLOOKUP('OPĆI DIO'!$C$3,'OPĆI DIO'!$L$6:$U$138,9,FALSE))</f>
        <v/>
      </c>
      <c r="C470" s="103" t="str">
        <f t="shared" si="35"/>
        <v/>
      </c>
      <c r="D470" s="59" t="str">
        <f t="shared" si="36"/>
        <v/>
      </c>
      <c r="E470" s="68"/>
      <c r="F470" s="106" t="str">
        <f t="shared" si="37"/>
        <v/>
      </c>
      <c r="G470" s="101"/>
      <c r="H470" s="101"/>
      <c r="I470" s="101"/>
      <c r="J470" s="68"/>
      <c r="L470" t="str">
        <f t="shared" si="38"/>
        <v/>
      </c>
      <c r="M470" t="str">
        <f t="shared" si="39"/>
        <v/>
      </c>
    </row>
    <row r="471" spans="1:13">
      <c r="A471" s="60" t="str">
        <f>IF(E471="","",VLOOKUP('OPĆI DIO'!$C$3,'OPĆI DIO'!$L$6:$U$138,10,FALSE))</f>
        <v/>
      </c>
      <c r="B471" s="60" t="str">
        <f>IF(E471="","",VLOOKUP('OPĆI DIO'!$C$3,'OPĆI DIO'!$L$6:$U$138,9,FALSE))</f>
        <v/>
      </c>
      <c r="C471" s="103" t="str">
        <f t="shared" si="35"/>
        <v/>
      </c>
      <c r="D471" s="59" t="str">
        <f t="shared" si="36"/>
        <v/>
      </c>
      <c r="E471" s="68"/>
      <c r="F471" s="106" t="str">
        <f t="shared" si="37"/>
        <v/>
      </c>
      <c r="G471" s="101"/>
      <c r="H471" s="101"/>
      <c r="I471" s="101"/>
      <c r="J471" s="68"/>
      <c r="L471" t="str">
        <f t="shared" si="38"/>
        <v/>
      </c>
      <c r="M471" t="str">
        <f t="shared" si="39"/>
        <v/>
      </c>
    </row>
    <row r="472" spans="1:13">
      <c r="A472" s="60" t="str">
        <f>IF(E472="","",VLOOKUP('OPĆI DIO'!$C$3,'OPĆI DIO'!$L$6:$U$138,10,FALSE))</f>
        <v/>
      </c>
      <c r="B472" s="60" t="str">
        <f>IF(E472="","",VLOOKUP('OPĆI DIO'!$C$3,'OPĆI DIO'!$L$6:$U$138,9,FALSE))</f>
        <v/>
      </c>
      <c r="C472" s="103" t="str">
        <f t="shared" si="35"/>
        <v/>
      </c>
      <c r="D472" s="59" t="str">
        <f t="shared" si="36"/>
        <v/>
      </c>
      <c r="E472" s="68"/>
      <c r="F472" s="106" t="str">
        <f t="shared" si="37"/>
        <v/>
      </c>
      <c r="G472" s="101"/>
      <c r="H472" s="101"/>
      <c r="I472" s="101"/>
      <c r="J472" s="68"/>
      <c r="L472" t="str">
        <f t="shared" si="38"/>
        <v/>
      </c>
      <c r="M472" t="str">
        <f t="shared" si="39"/>
        <v/>
      </c>
    </row>
    <row r="473" spans="1:13">
      <c r="A473" s="60" t="str">
        <f>IF(E473="","",VLOOKUP('OPĆI DIO'!$C$3,'OPĆI DIO'!$L$6:$U$138,10,FALSE))</f>
        <v/>
      </c>
      <c r="B473" s="60" t="str">
        <f>IF(E473="","",VLOOKUP('OPĆI DIO'!$C$3,'OPĆI DIO'!$L$6:$U$138,9,FALSE))</f>
        <v/>
      </c>
      <c r="C473" s="103" t="str">
        <f t="shared" si="35"/>
        <v/>
      </c>
      <c r="D473" s="59" t="str">
        <f t="shared" si="36"/>
        <v/>
      </c>
      <c r="E473" s="68"/>
      <c r="F473" s="106" t="str">
        <f t="shared" si="37"/>
        <v/>
      </c>
      <c r="G473" s="101"/>
      <c r="H473" s="101"/>
      <c r="I473" s="101"/>
      <c r="J473" s="68"/>
      <c r="L473" t="str">
        <f t="shared" si="38"/>
        <v/>
      </c>
      <c r="M473" t="str">
        <f t="shared" si="39"/>
        <v/>
      </c>
    </row>
    <row r="474" spans="1:13">
      <c r="A474" s="60" t="str">
        <f>IF(E474="","",VLOOKUP('OPĆI DIO'!$C$3,'OPĆI DIO'!$L$6:$U$138,10,FALSE))</f>
        <v/>
      </c>
      <c r="B474" s="60" t="str">
        <f>IF(E474="","",VLOOKUP('OPĆI DIO'!$C$3,'OPĆI DIO'!$L$6:$U$138,9,FALSE))</f>
        <v/>
      </c>
      <c r="C474" s="103" t="str">
        <f t="shared" si="35"/>
        <v/>
      </c>
      <c r="D474" s="59" t="str">
        <f t="shared" si="36"/>
        <v/>
      </c>
      <c r="E474" s="68"/>
      <c r="F474" s="106" t="str">
        <f t="shared" si="37"/>
        <v/>
      </c>
      <c r="G474" s="101"/>
      <c r="H474" s="101"/>
      <c r="I474" s="101"/>
      <c r="J474" s="68"/>
      <c r="L474" t="str">
        <f t="shared" si="38"/>
        <v/>
      </c>
      <c r="M474" t="str">
        <f t="shared" si="39"/>
        <v/>
      </c>
    </row>
    <row r="475" spans="1:13">
      <c r="A475" s="60" t="str">
        <f>IF(E475="","",VLOOKUP('OPĆI DIO'!$C$3,'OPĆI DIO'!$L$6:$U$138,10,FALSE))</f>
        <v/>
      </c>
      <c r="B475" s="60" t="str">
        <f>IF(E475="","",VLOOKUP('OPĆI DIO'!$C$3,'OPĆI DIO'!$L$6:$U$138,9,FALSE))</f>
        <v/>
      </c>
      <c r="C475" s="103" t="str">
        <f t="shared" si="35"/>
        <v/>
      </c>
      <c r="D475" s="59" t="str">
        <f t="shared" si="36"/>
        <v/>
      </c>
      <c r="E475" s="68"/>
      <c r="F475" s="106" t="str">
        <f t="shared" si="37"/>
        <v/>
      </c>
      <c r="G475" s="101"/>
      <c r="H475" s="101"/>
      <c r="I475" s="101"/>
      <c r="J475" s="68"/>
      <c r="L475" t="str">
        <f t="shared" si="38"/>
        <v/>
      </c>
      <c r="M475" t="str">
        <f t="shared" si="39"/>
        <v/>
      </c>
    </row>
    <row r="476" spans="1:13">
      <c r="A476" s="60" t="str">
        <f>IF(E476="","",VLOOKUP('OPĆI DIO'!$C$3,'OPĆI DIO'!$L$6:$U$138,10,FALSE))</f>
        <v/>
      </c>
      <c r="B476" s="60" t="str">
        <f>IF(E476="","",VLOOKUP('OPĆI DIO'!$C$3,'OPĆI DIO'!$L$6:$U$138,9,FALSE))</f>
        <v/>
      </c>
      <c r="C476" s="103" t="str">
        <f t="shared" si="35"/>
        <v/>
      </c>
      <c r="D476" s="59" t="str">
        <f t="shared" si="36"/>
        <v/>
      </c>
      <c r="E476" s="68"/>
      <c r="F476" s="106" t="str">
        <f t="shared" si="37"/>
        <v/>
      </c>
      <c r="G476" s="101"/>
      <c r="H476" s="101"/>
      <c r="I476" s="101"/>
      <c r="J476" s="68"/>
      <c r="L476" t="str">
        <f t="shared" si="38"/>
        <v/>
      </c>
      <c r="M476" t="str">
        <f t="shared" si="39"/>
        <v/>
      </c>
    </row>
    <row r="477" spans="1:13">
      <c r="A477" s="60" t="str">
        <f>IF(E477="","",VLOOKUP('OPĆI DIO'!$C$3,'OPĆI DIO'!$L$6:$U$138,10,FALSE))</f>
        <v/>
      </c>
      <c r="B477" s="60" t="str">
        <f>IF(E477="","",VLOOKUP('OPĆI DIO'!$C$3,'OPĆI DIO'!$L$6:$U$138,9,FALSE))</f>
        <v/>
      </c>
      <c r="C477" s="103" t="str">
        <f t="shared" si="35"/>
        <v/>
      </c>
      <c r="D477" s="59" t="str">
        <f t="shared" si="36"/>
        <v/>
      </c>
      <c r="E477" s="68"/>
      <c r="F477" s="106" t="str">
        <f t="shared" si="37"/>
        <v/>
      </c>
      <c r="G477" s="101"/>
      <c r="H477" s="101"/>
      <c r="I477" s="101"/>
      <c r="J477" s="68"/>
      <c r="L477" t="str">
        <f t="shared" si="38"/>
        <v/>
      </c>
      <c r="M477" t="str">
        <f t="shared" si="39"/>
        <v/>
      </c>
    </row>
    <row r="478" spans="1:13">
      <c r="A478" s="60" t="str">
        <f>IF(E478="","",VLOOKUP('OPĆI DIO'!$C$3,'OPĆI DIO'!$L$6:$U$138,10,FALSE))</f>
        <v/>
      </c>
      <c r="B478" s="60" t="str">
        <f>IF(E478="","",VLOOKUP('OPĆI DIO'!$C$3,'OPĆI DIO'!$L$6:$U$138,9,FALSE))</f>
        <v/>
      </c>
      <c r="C478" s="103" t="str">
        <f t="shared" si="35"/>
        <v/>
      </c>
      <c r="D478" s="59" t="str">
        <f t="shared" si="36"/>
        <v/>
      </c>
      <c r="E478" s="68"/>
      <c r="F478" s="106" t="str">
        <f t="shared" si="37"/>
        <v/>
      </c>
      <c r="G478" s="101"/>
      <c r="H478" s="101"/>
      <c r="I478" s="101"/>
      <c r="J478" s="68"/>
      <c r="L478" t="str">
        <f t="shared" si="38"/>
        <v/>
      </c>
      <c r="M478" t="str">
        <f t="shared" si="39"/>
        <v/>
      </c>
    </row>
    <row r="479" spans="1:13">
      <c r="A479" s="60" t="str">
        <f>IF(E479="","",VLOOKUP('OPĆI DIO'!$C$3,'OPĆI DIO'!$L$6:$U$138,10,FALSE))</f>
        <v/>
      </c>
      <c r="B479" s="60" t="str">
        <f>IF(E479="","",VLOOKUP('OPĆI DIO'!$C$3,'OPĆI DIO'!$L$6:$U$138,9,FALSE))</f>
        <v/>
      </c>
      <c r="C479" s="103" t="str">
        <f t="shared" si="35"/>
        <v/>
      </c>
      <c r="D479" s="59" t="str">
        <f t="shared" si="36"/>
        <v/>
      </c>
      <c r="E479" s="68"/>
      <c r="F479" s="106" t="str">
        <f t="shared" si="37"/>
        <v/>
      </c>
      <c r="G479" s="101"/>
      <c r="H479" s="101"/>
      <c r="I479" s="101"/>
      <c r="J479" s="68"/>
      <c r="L479" t="str">
        <f t="shared" si="38"/>
        <v/>
      </c>
      <c r="M479" t="str">
        <f t="shared" si="39"/>
        <v/>
      </c>
    </row>
    <row r="480" spans="1:13">
      <c r="A480" s="60" t="str">
        <f>IF(E480="","",VLOOKUP('OPĆI DIO'!$C$3,'OPĆI DIO'!$L$6:$U$138,10,FALSE))</f>
        <v/>
      </c>
      <c r="B480" s="60" t="str">
        <f>IF(E480="","",VLOOKUP('OPĆI DIO'!$C$3,'OPĆI DIO'!$L$6:$U$138,9,FALSE))</f>
        <v/>
      </c>
      <c r="C480" s="103" t="str">
        <f t="shared" si="35"/>
        <v/>
      </c>
      <c r="D480" s="59" t="str">
        <f t="shared" si="36"/>
        <v/>
      </c>
      <c r="E480" s="68"/>
      <c r="F480" s="106" t="str">
        <f t="shared" si="37"/>
        <v/>
      </c>
      <c r="G480" s="101"/>
      <c r="H480" s="101"/>
      <c r="I480" s="101"/>
      <c r="J480" s="68"/>
      <c r="L480" t="str">
        <f t="shared" si="38"/>
        <v/>
      </c>
      <c r="M480" t="str">
        <f t="shared" si="39"/>
        <v/>
      </c>
    </row>
    <row r="481" spans="1:13">
      <c r="A481" s="60" t="str">
        <f>IF(E481="","",VLOOKUP('OPĆI DIO'!$C$3,'OPĆI DIO'!$L$6:$U$138,10,FALSE))</f>
        <v/>
      </c>
      <c r="B481" s="60" t="str">
        <f>IF(E481="","",VLOOKUP('OPĆI DIO'!$C$3,'OPĆI DIO'!$L$6:$U$138,9,FALSE))</f>
        <v/>
      </c>
      <c r="C481" s="103" t="str">
        <f t="shared" si="35"/>
        <v/>
      </c>
      <c r="D481" s="59" t="str">
        <f t="shared" si="36"/>
        <v/>
      </c>
      <c r="E481" s="68"/>
      <c r="F481" s="106" t="str">
        <f t="shared" si="37"/>
        <v/>
      </c>
      <c r="G481" s="101"/>
      <c r="H481" s="101"/>
      <c r="I481" s="101"/>
      <c r="J481" s="68"/>
      <c r="L481" t="str">
        <f t="shared" si="38"/>
        <v/>
      </c>
      <c r="M481" t="str">
        <f t="shared" si="39"/>
        <v/>
      </c>
    </row>
    <row r="482" spans="1:13">
      <c r="A482" s="60" t="str">
        <f>IF(E482="","",VLOOKUP('OPĆI DIO'!$C$3,'OPĆI DIO'!$L$6:$U$138,10,FALSE))</f>
        <v/>
      </c>
      <c r="B482" s="60" t="str">
        <f>IF(E482="","",VLOOKUP('OPĆI DIO'!$C$3,'OPĆI DIO'!$L$6:$U$138,9,FALSE))</f>
        <v/>
      </c>
      <c r="C482" s="103" t="str">
        <f t="shared" si="35"/>
        <v/>
      </c>
      <c r="D482" s="59" t="str">
        <f t="shared" si="36"/>
        <v/>
      </c>
      <c r="E482" s="68"/>
      <c r="F482" s="106" t="str">
        <f t="shared" si="37"/>
        <v/>
      </c>
      <c r="G482" s="101"/>
      <c r="H482" s="101"/>
      <c r="I482" s="101"/>
      <c r="J482" s="68"/>
      <c r="L482" t="str">
        <f t="shared" si="38"/>
        <v/>
      </c>
      <c r="M482" t="str">
        <f t="shared" si="39"/>
        <v/>
      </c>
    </row>
    <row r="483" spans="1:13">
      <c r="A483" s="60" t="str">
        <f>IF(E483="","",VLOOKUP('OPĆI DIO'!$C$3,'OPĆI DIO'!$L$6:$U$138,10,FALSE))</f>
        <v/>
      </c>
      <c r="B483" s="60" t="str">
        <f>IF(E483="","",VLOOKUP('OPĆI DIO'!$C$3,'OPĆI DIO'!$L$6:$U$138,9,FALSE))</f>
        <v/>
      </c>
      <c r="C483" s="103" t="str">
        <f t="shared" si="35"/>
        <v/>
      </c>
      <c r="D483" s="59" t="str">
        <f t="shared" si="36"/>
        <v/>
      </c>
      <c r="E483" s="68"/>
      <c r="F483" s="106" t="str">
        <f t="shared" si="37"/>
        <v/>
      </c>
      <c r="G483" s="101"/>
      <c r="H483" s="101"/>
      <c r="I483" s="101"/>
      <c r="J483" s="68"/>
      <c r="L483" t="str">
        <f t="shared" si="38"/>
        <v/>
      </c>
      <c r="M483" t="str">
        <f t="shared" si="39"/>
        <v/>
      </c>
    </row>
    <row r="484" spans="1:13">
      <c r="A484" s="60" t="str">
        <f>IF(E484="","",VLOOKUP('OPĆI DIO'!$C$3,'OPĆI DIO'!$L$6:$U$138,10,FALSE))</f>
        <v/>
      </c>
      <c r="B484" s="60" t="str">
        <f>IF(E484="","",VLOOKUP('OPĆI DIO'!$C$3,'OPĆI DIO'!$L$6:$U$138,9,FALSE))</f>
        <v/>
      </c>
      <c r="C484" s="103" t="str">
        <f t="shared" si="35"/>
        <v/>
      </c>
      <c r="D484" s="59" t="str">
        <f t="shared" si="36"/>
        <v/>
      </c>
      <c r="E484" s="68"/>
      <c r="F484" s="106" t="str">
        <f t="shared" si="37"/>
        <v/>
      </c>
      <c r="G484" s="101"/>
      <c r="H484" s="101"/>
      <c r="I484" s="101"/>
      <c r="J484" s="68"/>
      <c r="L484" t="str">
        <f t="shared" si="38"/>
        <v/>
      </c>
      <c r="M484" t="str">
        <f t="shared" si="39"/>
        <v/>
      </c>
    </row>
    <row r="485" spans="1:13">
      <c r="A485" s="60" t="str">
        <f>IF(E485="","",VLOOKUP('OPĆI DIO'!$C$3,'OPĆI DIO'!$L$6:$U$138,10,FALSE))</f>
        <v/>
      </c>
      <c r="B485" s="60" t="str">
        <f>IF(E485="","",VLOOKUP('OPĆI DIO'!$C$3,'OPĆI DIO'!$L$6:$U$138,9,FALSE))</f>
        <v/>
      </c>
      <c r="C485" s="103" t="str">
        <f t="shared" si="35"/>
        <v/>
      </c>
      <c r="D485" s="59" t="str">
        <f t="shared" si="36"/>
        <v/>
      </c>
      <c r="E485" s="68"/>
      <c r="F485" s="106" t="str">
        <f t="shared" si="37"/>
        <v/>
      </c>
      <c r="G485" s="101"/>
      <c r="H485" s="101"/>
      <c r="I485" s="101"/>
      <c r="J485" s="68"/>
      <c r="L485" t="str">
        <f t="shared" si="38"/>
        <v/>
      </c>
      <c r="M485" t="str">
        <f t="shared" si="39"/>
        <v/>
      </c>
    </row>
    <row r="486" spans="1:13">
      <c r="A486" s="60" t="str">
        <f>IF(E486="","",VLOOKUP('OPĆI DIO'!$C$3,'OPĆI DIO'!$L$6:$U$138,10,FALSE))</f>
        <v/>
      </c>
      <c r="B486" s="60" t="str">
        <f>IF(E486="","",VLOOKUP('OPĆI DIO'!$C$3,'OPĆI DIO'!$L$6:$U$138,9,FALSE))</f>
        <v/>
      </c>
      <c r="C486" s="103" t="str">
        <f t="shared" si="35"/>
        <v/>
      </c>
      <c r="D486" s="59" t="str">
        <f t="shared" si="36"/>
        <v/>
      </c>
      <c r="E486" s="68"/>
      <c r="F486" s="106" t="str">
        <f t="shared" si="37"/>
        <v/>
      </c>
      <c r="G486" s="101"/>
      <c r="H486" s="101"/>
      <c r="I486" s="101"/>
      <c r="J486" s="68"/>
      <c r="L486" t="str">
        <f t="shared" si="38"/>
        <v/>
      </c>
      <c r="M486" t="str">
        <f t="shared" si="39"/>
        <v/>
      </c>
    </row>
    <row r="487" spans="1:13">
      <c r="A487" s="60" t="str">
        <f>IF(E487="","",VLOOKUP('OPĆI DIO'!$C$3,'OPĆI DIO'!$L$6:$U$138,10,FALSE))</f>
        <v/>
      </c>
      <c r="B487" s="60" t="str">
        <f>IF(E487="","",VLOOKUP('OPĆI DIO'!$C$3,'OPĆI DIO'!$L$6:$U$138,9,FALSE))</f>
        <v/>
      </c>
      <c r="C487" s="103" t="str">
        <f t="shared" si="35"/>
        <v/>
      </c>
      <c r="D487" s="59" t="str">
        <f t="shared" si="36"/>
        <v/>
      </c>
      <c r="E487" s="68"/>
      <c r="F487" s="106" t="str">
        <f t="shared" si="37"/>
        <v/>
      </c>
      <c r="G487" s="101"/>
      <c r="H487" s="101"/>
      <c r="I487" s="101"/>
      <c r="J487" s="68"/>
      <c r="L487" t="str">
        <f t="shared" si="38"/>
        <v/>
      </c>
      <c r="M487" t="str">
        <f t="shared" si="39"/>
        <v/>
      </c>
    </row>
    <row r="488" spans="1:13">
      <c r="A488" s="60" t="str">
        <f>IF(E488="","",VLOOKUP('OPĆI DIO'!$C$3,'OPĆI DIO'!$L$6:$U$138,10,FALSE))</f>
        <v/>
      </c>
      <c r="B488" s="60" t="str">
        <f>IF(E488="","",VLOOKUP('OPĆI DIO'!$C$3,'OPĆI DIO'!$L$6:$U$138,9,FALSE))</f>
        <v/>
      </c>
      <c r="C488" s="103" t="str">
        <f t="shared" si="35"/>
        <v/>
      </c>
      <c r="D488" s="59" t="str">
        <f t="shared" si="36"/>
        <v/>
      </c>
      <c r="E488" s="68"/>
      <c r="F488" s="106" t="str">
        <f t="shared" si="37"/>
        <v/>
      </c>
      <c r="G488" s="101"/>
      <c r="H488" s="101"/>
      <c r="I488" s="101"/>
      <c r="J488" s="68"/>
      <c r="L488" t="str">
        <f t="shared" si="38"/>
        <v/>
      </c>
      <c r="M488" t="str">
        <f t="shared" si="39"/>
        <v/>
      </c>
    </row>
    <row r="489" spans="1:13">
      <c r="A489" s="60" t="str">
        <f>IF(E489="","",VLOOKUP('OPĆI DIO'!$C$3,'OPĆI DIO'!$L$6:$U$138,10,FALSE))</f>
        <v/>
      </c>
      <c r="B489" s="60" t="str">
        <f>IF(E489="","",VLOOKUP('OPĆI DIO'!$C$3,'OPĆI DIO'!$L$6:$U$138,9,FALSE))</f>
        <v/>
      </c>
      <c r="C489" s="103" t="str">
        <f t="shared" si="35"/>
        <v/>
      </c>
      <c r="D489" s="59" t="str">
        <f t="shared" si="36"/>
        <v/>
      </c>
      <c r="E489" s="68"/>
      <c r="F489" s="106" t="str">
        <f t="shared" si="37"/>
        <v/>
      </c>
      <c r="G489" s="101"/>
      <c r="H489" s="101"/>
      <c r="I489" s="101"/>
      <c r="J489" s="68"/>
      <c r="L489" t="str">
        <f t="shared" si="38"/>
        <v/>
      </c>
      <c r="M489" t="str">
        <f t="shared" si="39"/>
        <v/>
      </c>
    </row>
    <row r="490" spans="1:13">
      <c r="A490" s="60" t="str">
        <f>IF(E490="","",VLOOKUP('OPĆI DIO'!$C$3,'OPĆI DIO'!$L$6:$U$138,10,FALSE))</f>
        <v/>
      </c>
      <c r="B490" s="60" t="str">
        <f>IF(E490="","",VLOOKUP('OPĆI DIO'!$C$3,'OPĆI DIO'!$L$6:$U$138,9,FALSE))</f>
        <v/>
      </c>
      <c r="C490" s="103" t="str">
        <f t="shared" si="35"/>
        <v/>
      </c>
      <c r="D490" s="59" t="str">
        <f t="shared" si="36"/>
        <v/>
      </c>
      <c r="E490" s="68"/>
      <c r="F490" s="106" t="str">
        <f t="shared" si="37"/>
        <v/>
      </c>
      <c r="G490" s="101"/>
      <c r="H490" s="101"/>
      <c r="I490" s="101"/>
      <c r="J490" s="68"/>
      <c r="L490" t="str">
        <f t="shared" si="38"/>
        <v/>
      </c>
      <c r="M490" t="str">
        <f t="shared" si="39"/>
        <v/>
      </c>
    </row>
    <row r="491" spans="1:13">
      <c r="A491" s="60" t="str">
        <f>IF(E491="","",VLOOKUP('OPĆI DIO'!$C$3,'OPĆI DIO'!$L$6:$U$138,10,FALSE))</f>
        <v/>
      </c>
      <c r="B491" s="60" t="str">
        <f>IF(E491="","",VLOOKUP('OPĆI DIO'!$C$3,'OPĆI DIO'!$L$6:$U$138,9,FALSE))</f>
        <v/>
      </c>
      <c r="C491" s="103" t="str">
        <f t="shared" si="35"/>
        <v/>
      </c>
      <c r="D491" s="59" t="str">
        <f t="shared" si="36"/>
        <v/>
      </c>
      <c r="E491" s="68"/>
      <c r="F491" s="106" t="str">
        <f t="shared" si="37"/>
        <v/>
      </c>
      <c r="G491" s="101"/>
      <c r="H491" s="101"/>
      <c r="I491" s="101"/>
      <c r="J491" s="68"/>
      <c r="L491" t="str">
        <f t="shared" si="38"/>
        <v/>
      </c>
      <c r="M491" t="str">
        <f t="shared" si="39"/>
        <v/>
      </c>
    </row>
    <row r="492" spans="1:13">
      <c r="A492" s="60" t="str">
        <f>IF(E492="","",VLOOKUP('OPĆI DIO'!$C$3,'OPĆI DIO'!$L$6:$U$138,10,FALSE))</f>
        <v/>
      </c>
      <c r="B492" s="60" t="str">
        <f>IF(E492="","",VLOOKUP('OPĆI DIO'!$C$3,'OPĆI DIO'!$L$6:$U$138,9,FALSE))</f>
        <v/>
      </c>
      <c r="C492" s="103" t="str">
        <f t="shared" si="35"/>
        <v/>
      </c>
      <c r="D492" s="59" t="str">
        <f t="shared" si="36"/>
        <v/>
      </c>
      <c r="E492" s="68"/>
      <c r="F492" s="106" t="str">
        <f t="shared" si="37"/>
        <v/>
      </c>
      <c r="G492" s="101"/>
      <c r="H492" s="101"/>
      <c r="I492" s="101"/>
      <c r="J492" s="68"/>
      <c r="L492" t="str">
        <f t="shared" si="38"/>
        <v/>
      </c>
      <c r="M492" t="str">
        <f t="shared" si="39"/>
        <v/>
      </c>
    </row>
    <row r="493" spans="1:13">
      <c r="A493" s="60" t="str">
        <f>IF(E493="","",VLOOKUP('OPĆI DIO'!$C$3,'OPĆI DIO'!$L$6:$U$138,10,FALSE))</f>
        <v/>
      </c>
      <c r="B493" s="60" t="str">
        <f>IF(E493="","",VLOOKUP('OPĆI DIO'!$C$3,'OPĆI DIO'!$L$6:$U$138,9,FALSE))</f>
        <v/>
      </c>
      <c r="C493" s="103" t="str">
        <f t="shared" si="35"/>
        <v/>
      </c>
      <c r="D493" s="59" t="str">
        <f t="shared" si="36"/>
        <v/>
      </c>
      <c r="E493" s="68"/>
      <c r="F493" s="106" t="str">
        <f t="shared" si="37"/>
        <v/>
      </c>
      <c r="G493" s="101"/>
      <c r="H493" s="101"/>
      <c r="I493" s="101"/>
      <c r="J493" s="68"/>
      <c r="L493" t="str">
        <f t="shared" si="38"/>
        <v/>
      </c>
      <c r="M493" t="str">
        <f t="shared" si="39"/>
        <v/>
      </c>
    </row>
    <row r="494" spans="1:13">
      <c r="A494" s="60" t="str">
        <f>IF(E494="","",VLOOKUP('OPĆI DIO'!$C$3,'OPĆI DIO'!$L$6:$U$138,10,FALSE))</f>
        <v/>
      </c>
      <c r="B494" s="60" t="str">
        <f>IF(E494="","",VLOOKUP('OPĆI DIO'!$C$3,'OPĆI DIO'!$L$6:$U$138,9,FALSE))</f>
        <v/>
      </c>
      <c r="C494" s="103" t="str">
        <f t="shared" si="35"/>
        <v/>
      </c>
      <c r="D494" s="59" t="str">
        <f t="shared" si="36"/>
        <v/>
      </c>
      <c r="E494" s="68"/>
      <c r="F494" s="106" t="str">
        <f t="shared" si="37"/>
        <v/>
      </c>
      <c r="G494" s="101"/>
      <c r="H494" s="101"/>
      <c r="I494" s="101"/>
      <c r="J494" s="68"/>
      <c r="L494" t="str">
        <f t="shared" si="38"/>
        <v/>
      </c>
      <c r="M494" t="str">
        <f t="shared" si="39"/>
        <v/>
      </c>
    </row>
    <row r="495" spans="1:13">
      <c r="A495" s="60" t="str">
        <f>IF(E495="","",VLOOKUP('OPĆI DIO'!$C$3,'OPĆI DIO'!$L$6:$U$138,10,FALSE))</f>
        <v/>
      </c>
      <c r="B495" s="60" t="str">
        <f>IF(E495="","",VLOOKUP('OPĆI DIO'!$C$3,'OPĆI DIO'!$L$6:$U$138,9,FALSE))</f>
        <v/>
      </c>
      <c r="C495" s="103" t="str">
        <f t="shared" si="35"/>
        <v/>
      </c>
      <c r="D495" s="59" t="str">
        <f t="shared" si="36"/>
        <v/>
      </c>
      <c r="E495" s="68"/>
      <c r="F495" s="106" t="str">
        <f t="shared" si="37"/>
        <v/>
      </c>
      <c r="G495" s="101"/>
      <c r="H495" s="101"/>
      <c r="I495" s="101"/>
      <c r="J495" s="68"/>
      <c r="L495" t="str">
        <f t="shared" si="38"/>
        <v/>
      </c>
      <c r="M495" t="str">
        <f t="shared" si="39"/>
        <v/>
      </c>
    </row>
    <row r="496" spans="1:13">
      <c r="A496" s="60" t="str">
        <f>IF(E496="","",VLOOKUP('OPĆI DIO'!$C$3,'OPĆI DIO'!$L$6:$U$138,10,FALSE))</f>
        <v/>
      </c>
      <c r="B496" s="60" t="str">
        <f>IF(E496="","",VLOOKUP('OPĆI DIO'!$C$3,'OPĆI DIO'!$L$6:$U$138,9,FALSE))</f>
        <v/>
      </c>
      <c r="C496" s="103" t="str">
        <f t="shared" si="35"/>
        <v/>
      </c>
      <c r="D496" s="59" t="str">
        <f t="shared" si="36"/>
        <v/>
      </c>
      <c r="E496" s="68"/>
      <c r="F496" s="106" t="str">
        <f t="shared" si="37"/>
        <v/>
      </c>
      <c r="G496" s="101"/>
      <c r="H496" s="101"/>
      <c r="I496" s="101"/>
      <c r="J496" s="68"/>
      <c r="L496" t="str">
        <f t="shared" si="38"/>
        <v/>
      </c>
      <c r="M496" t="str">
        <f t="shared" si="39"/>
        <v/>
      </c>
    </row>
    <row r="497" spans="1:13">
      <c r="A497" s="60" t="str">
        <f>IF(E497="","",VLOOKUP('OPĆI DIO'!$C$3,'OPĆI DIO'!$L$6:$U$138,10,FALSE))</f>
        <v/>
      </c>
      <c r="B497" s="60" t="str">
        <f>IF(E497="","",VLOOKUP('OPĆI DIO'!$C$3,'OPĆI DIO'!$L$6:$U$138,9,FALSE))</f>
        <v/>
      </c>
      <c r="C497" s="103" t="str">
        <f t="shared" si="35"/>
        <v/>
      </c>
      <c r="D497" s="59" t="str">
        <f t="shared" si="36"/>
        <v/>
      </c>
      <c r="E497" s="68"/>
      <c r="F497" s="106" t="str">
        <f t="shared" si="37"/>
        <v/>
      </c>
      <c r="G497" s="101"/>
      <c r="H497" s="101"/>
      <c r="I497" s="101"/>
      <c r="J497" s="68"/>
      <c r="L497" t="str">
        <f t="shared" si="38"/>
        <v/>
      </c>
      <c r="M497" t="str">
        <f t="shared" si="39"/>
        <v/>
      </c>
    </row>
    <row r="498" spans="1:13">
      <c r="A498" s="60" t="str">
        <f>IF(E498="","",VLOOKUP('OPĆI DIO'!$C$3,'OPĆI DIO'!$L$6:$U$138,10,FALSE))</f>
        <v/>
      </c>
      <c r="B498" s="60" t="str">
        <f>IF(E498="","",VLOOKUP('OPĆI DIO'!$C$3,'OPĆI DIO'!$L$6:$U$138,9,FALSE))</f>
        <v/>
      </c>
      <c r="C498" s="103" t="str">
        <f t="shared" si="35"/>
        <v/>
      </c>
      <c r="D498" s="59" t="str">
        <f t="shared" si="36"/>
        <v/>
      </c>
      <c r="E498" s="68"/>
      <c r="F498" s="106" t="str">
        <f t="shared" si="37"/>
        <v/>
      </c>
      <c r="G498" s="101"/>
      <c r="H498" s="101"/>
      <c r="I498" s="101"/>
      <c r="J498" s="68"/>
      <c r="L498" t="str">
        <f t="shared" si="38"/>
        <v/>
      </c>
      <c r="M498" t="str">
        <f t="shared" si="39"/>
        <v/>
      </c>
    </row>
    <row r="499" spans="1:13">
      <c r="A499" s="60" t="str">
        <f>IF(E499="","",VLOOKUP('OPĆI DIO'!$C$3,'OPĆI DIO'!$L$6:$U$138,10,FALSE))</f>
        <v/>
      </c>
      <c r="B499" s="60" t="str">
        <f>IF(E499="","",VLOOKUP('OPĆI DIO'!$C$3,'OPĆI DIO'!$L$6:$U$138,9,FALSE))</f>
        <v/>
      </c>
      <c r="C499" s="103" t="str">
        <f t="shared" si="35"/>
        <v/>
      </c>
      <c r="D499" s="59" t="str">
        <f t="shared" si="36"/>
        <v/>
      </c>
      <c r="E499" s="68"/>
      <c r="F499" s="106" t="str">
        <f t="shared" si="37"/>
        <v/>
      </c>
      <c r="G499" s="101"/>
      <c r="H499" s="101"/>
      <c r="I499" s="101"/>
      <c r="J499" s="68"/>
      <c r="L499" t="str">
        <f t="shared" si="38"/>
        <v/>
      </c>
      <c r="M499" t="str">
        <f t="shared" si="39"/>
        <v/>
      </c>
    </row>
    <row r="500" spans="1:13">
      <c r="A500" s="60" t="str">
        <f>IF(E500="","",VLOOKUP('OPĆI DIO'!$C$3,'OPĆI DIO'!$L$6:$U$138,10,FALSE))</f>
        <v/>
      </c>
      <c r="B500" s="60" t="str">
        <f>IF(E500="","",VLOOKUP('OPĆI DIO'!$C$3,'OPĆI DIO'!$L$6:$U$138,9,FALSE))</f>
        <v/>
      </c>
      <c r="C500" s="103" t="str">
        <f t="shared" si="35"/>
        <v/>
      </c>
      <c r="D500" s="59" t="str">
        <f t="shared" si="36"/>
        <v/>
      </c>
      <c r="E500" s="68"/>
      <c r="F500" s="106" t="str">
        <f t="shared" si="37"/>
        <v/>
      </c>
      <c r="G500" s="101"/>
      <c r="H500" s="101"/>
      <c r="I500" s="101"/>
      <c r="J500" s="68"/>
      <c r="L500" t="str">
        <f t="shared" si="38"/>
        <v/>
      </c>
      <c r="M500" t="str">
        <f t="shared" si="39"/>
        <v/>
      </c>
    </row>
    <row r="501" spans="1:13">
      <c r="A501" s="60" t="str">
        <f>IF(E501="","",VLOOKUP('OPĆI DIO'!$C$3,'OPĆI DIO'!$L$6:$U$138,10,FALSE))</f>
        <v/>
      </c>
      <c r="B501" s="60" t="str">
        <f>IF(E501="","",VLOOKUP('OPĆI DIO'!$C$3,'OPĆI DIO'!$L$6:$U$138,9,FALSE))</f>
        <v/>
      </c>
      <c r="C501" s="103" t="str">
        <f t="shared" si="35"/>
        <v/>
      </c>
      <c r="D501" s="59" t="str">
        <f t="shared" si="36"/>
        <v/>
      </c>
      <c r="E501" s="68"/>
      <c r="F501" s="106" t="str">
        <f t="shared" si="37"/>
        <v/>
      </c>
      <c r="G501" s="101"/>
      <c r="H501" s="101"/>
      <c r="I501" s="101"/>
      <c r="J501" s="68"/>
      <c r="L501" t="str">
        <f t="shared" si="38"/>
        <v/>
      </c>
      <c r="M501" t="str">
        <f t="shared" si="39"/>
        <v/>
      </c>
    </row>
  </sheetData>
  <sheetProtection selectLockedCells="1"/>
  <autoFilter ref="A2:J501" xr:uid="{00000000-0001-0000-0100-000000000000}"/>
  <sortState xmlns:xlrd2="http://schemas.microsoft.com/office/spreadsheetml/2017/richdata2" ref="R8:V105">
    <sortCondition ref="R8"/>
  </sortState>
  <dataConsolidate/>
  <mergeCells count="1">
    <mergeCell ref="A1:D1"/>
  </mergeCells>
  <phoneticPr fontId="33" type="noConversion"/>
  <conditionalFormatting sqref="J3:J499">
    <cfRule type="expression" dxfId="1" priority="1">
      <formula>IF(OR(E3=6391,E3=6392,E3=6393,E3=6394),1,0)</formula>
    </cfRule>
  </conditionalFormatting>
  <dataValidations count="2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100-000001000000}">
      <formula1>$R$6:$R$113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G522"/>
  <sheetViews>
    <sheetView showGridLines="0" tabSelected="1" zoomScale="80" zoomScaleNormal="80" workbookViewId="0">
      <pane ySplit="2" topLeftCell="E3" activePane="bottomLeft" state="frozen"/>
      <selection pane="bottomLeft" activeCell="I1" sqref="I1"/>
    </sheetView>
  </sheetViews>
  <sheetFormatPr defaultColWidth="9.140625" defaultRowHeight="15" zeroHeight="1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21.85546875" customWidth="1"/>
    <col min="7" max="7" width="12.5703125" customWidth="1"/>
    <col min="8" max="8" width="43.7109375" customWidth="1"/>
    <col min="9" max="9" width="8.5703125" customWidth="1"/>
    <col min="10" max="10" width="16.42578125" style="5" customWidth="1"/>
    <col min="11" max="11" width="15.7109375" style="5" customWidth="1"/>
    <col min="12" max="12" width="15.140625" style="5" customWidth="1"/>
    <col min="13" max="13" width="46.42578125" style="5" customWidth="1"/>
    <col min="14" max="14" width="13.7109375" customWidth="1"/>
    <col min="15" max="19" width="9.140625" customWidth="1"/>
    <col min="20" max="20" width="46.5703125" customWidth="1"/>
    <col min="21" max="22" width="9.140625" customWidth="1"/>
    <col min="23" max="23" width="58.85546875" customWidth="1"/>
    <col min="25" max="25" width="9.140625" style="221"/>
  </cols>
  <sheetData>
    <row r="1" spans="1:33" ht="35.25" customHeight="1">
      <c r="A1" s="280" t="s">
        <v>627</v>
      </c>
      <c r="B1" s="280"/>
      <c r="C1" s="280"/>
      <c r="D1" s="280"/>
      <c r="E1" s="105" t="str">
        <f>IF(OR('OPĆI DIO'!C3="odaberite -",'OPĆI DIO'!C3=""),"Molimo odaberite proračunskog korisnika na radnom listu Opći podaci!","")</f>
        <v/>
      </c>
      <c r="L1" s="251" t="s">
        <v>58</v>
      </c>
    </row>
    <row r="2" spans="1:33" ht="36" customHeight="1">
      <c r="A2" s="62" t="s">
        <v>476</v>
      </c>
      <c r="B2" s="62" t="s">
        <v>477</v>
      </c>
      <c r="C2" s="66" t="s">
        <v>628</v>
      </c>
      <c r="D2" s="62" t="s">
        <v>479</v>
      </c>
      <c r="E2" s="66" t="s">
        <v>480</v>
      </c>
      <c r="F2" s="62" t="s">
        <v>481</v>
      </c>
      <c r="G2" s="66" t="s">
        <v>629</v>
      </c>
      <c r="H2" s="62" t="s">
        <v>630</v>
      </c>
      <c r="I2" s="62" t="s">
        <v>631</v>
      </c>
      <c r="J2" s="253" t="s">
        <v>62</v>
      </c>
      <c r="K2" s="253" t="s">
        <v>63</v>
      </c>
      <c r="L2" s="253" t="s">
        <v>64</v>
      </c>
      <c r="M2" s="216" t="s">
        <v>632</v>
      </c>
      <c r="O2" s="63" t="s">
        <v>483</v>
      </c>
      <c r="P2" s="63" t="s">
        <v>484</v>
      </c>
      <c r="Q2" s="162" t="s">
        <v>633</v>
      </c>
      <c r="R2" s="162"/>
    </row>
    <row r="3" spans="1:33">
      <c r="A3" s="64" t="str">
        <f>IF(C3="","",VLOOKUP('OPĆI DIO'!$C$3,'OPĆI DIO'!$L$6:$U$138,10,FALSE))</f>
        <v>08006</v>
      </c>
      <c r="B3" s="64" t="str">
        <f>IF(C3="","",VLOOKUP('OPĆI DIO'!$C$3,'OPĆI DIO'!$L$6:$U$138,9,FALSE))</f>
        <v>Sveučilišta i veleučilišta u Republici Hrvatskoj</v>
      </c>
      <c r="C3" s="69">
        <v>11</v>
      </c>
      <c r="D3" s="64" t="str">
        <f t="shared" ref="D3:D66" si="0">IFERROR(VLOOKUP(C3,$S$6:$T$24,2,FALSE),"")</f>
        <v>Opći prihodi i primici</v>
      </c>
      <c r="E3" s="69">
        <v>3111</v>
      </c>
      <c r="F3" s="64" t="str">
        <f t="shared" ref="F3:F13" si="1">IFERROR(VLOOKUP(E3,$V$5:$X$127,2,FALSE),"")</f>
        <v>Plaće za redovan rad</v>
      </c>
      <c r="G3" s="102" t="s">
        <v>634</v>
      </c>
      <c r="H3" s="64" t="str">
        <f t="shared" ref="H3:H66" si="2">IFERROR(VLOOKUP(G3,$AB$6:$AC$324,2,FALSE),"")</f>
        <v>REDOVNA DJELATNOST SVEUČILIŠTA U ZAGREBU</v>
      </c>
      <c r="I3" s="64" t="str">
        <f t="shared" ref="I3:I66" si="3">IFERROR(VLOOKUP(G3,$AB$6:$AF$324,3,FALSE),"")</f>
        <v>0942</v>
      </c>
      <c r="J3" s="101">
        <f>1349191+491+1442</f>
        <v>1351124</v>
      </c>
      <c r="K3" s="101">
        <v>3167253</v>
      </c>
      <c r="L3" s="101">
        <f>1551651+481+11051-11051</f>
        <v>1552132</v>
      </c>
      <c r="M3" s="68"/>
      <c r="O3" t="str">
        <f>LEFT(E3,3)</f>
        <v>311</v>
      </c>
      <c r="P3" t="str">
        <f>LEFT(E3,2)</f>
        <v>31</v>
      </c>
      <c r="Q3" t="str">
        <f>LEFT(C3,3)</f>
        <v>11</v>
      </c>
      <c r="R3" t="str">
        <f>MID(I3,2,2)</f>
        <v>94</v>
      </c>
    </row>
    <row r="4" spans="1:33">
      <c r="A4" s="64" t="str">
        <f>IF(C4="","",VLOOKUP('OPĆI DIO'!$C$3,'OPĆI DIO'!$L$6:$U$138,10,FALSE))</f>
        <v>08006</v>
      </c>
      <c r="B4" s="64" t="str">
        <f>IF(C4="","",VLOOKUP('OPĆI DIO'!$C$3,'OPĆI DIO'!$L$6:$U$138,9,FALSE))</f>
        <v>Sveučilišta i veleučilišta u Republici Hrvatskoj</v>
      </c>
      <c r="C4" s="69">
        <v>11</v>
      </c>
      <c r="D4" s="64" t="str">
        <f t="shared" si="0"/>
        <v>Opći prihodi i primici</v>
      </c>
      <c r="E4" s="69">
        <v>3132</v>
      </c>
      <c r="F4" s="64" t="str">
        <f t="shared" si="1"/>
        <v>Doprinosi za obvezno zdravstveno osiguranje</v>
      </c>
      <c r="G4" s="102" t="s">
        <v>634</v>
      </c>
      <c r="H4" s="64" t="str">
        <f t="shared" si="2"/>
        <v>REDOVNA DJELATNOST SVEUČILIŠTA U ZAGREBU</v>
      </c>
      <c r="I4" s="64" t="str">
        <f t="shared" si="3"/>
        <v>0942</v>
      </c>
      <c r="J4" s="101">
        <f>219701</f>
        <v>219701</v>
      </c>
      <c r="K4" s="101">
        <v>522193</v>
      </c>
      <c r="L4" s="101">
        <f>254392-1642</f>
        <v>252750</v>
      </c>
      <c r="M4" s="68"/>
      <c r="O4" t="str">
        <f t="shared" ref="O4:O67" si="4">LEFT(E4,3)</f>
        <v>313</v>
      </c>
      <c r="P4" t="str">
        <f t="shared" ref="P4:P67" si="5">LEFT(E4,2)</f>
        <v>31</v>
      </c>
      <c r="Q4" t="str">
        <f t="shared" ref="Q4:Q67" si="6">LEFT(C4,3)</f>
        <v>11</v>
      </c>
      <c r="R4" t="str">
        <f t="shared" ref="R4:R67" si="7">MID(I4,2,2)</f>
        <v>94</v>
      </c>
      <c r="V4" s="65"/>
      <c r="W4" s="65"/>
    </row>
    <row r="5" spans="1:33">
      <c r="A5" s="64" t="str">
        <f>IF(C5="","",VLOOKUP('OPĆI DIO'!$C$3,'OPĆI DIO'!$L$6:$U$138,10,FALSE))</f>
        <v>08006</v>
      </c>
      <c r="B5" s="64" t="str">
        <f>IF(C5="","",VLOOKUP('OPĆI DIO'!$C$3,'OPĆI DIO'!$L$6:$U$138,9,FALSE))</f>
        <v>Sveučilišta i veleučilišta u Republici Hrvatskoj</v>
      </c>
      <c r="C5" s="69">
        <v>11</v>
      </c>
      <c r="D5" s="64" t="str">
        <f t="shared" si="0"/>
        <v>Opći prihodi i primici</v>
      </c>
      <c r="E5" s="69">
        <v>3212</v>
      </c>
      <c r="F5" s="64" t="str">
        <f t="shared" si="1"/>
        <v>Naknade za prijevoz, za rad na terenu i odvojeni život</v>
      </c>
      <c r="G5" s="102" t="s">
        <v>634</v>
      </c>
      <c r="H5" s="64" t="str">
        <f t="shared" si="2"/>
        <v>REDOVNA DJELATNOST SVEUČILIŠTA U ZAGREBU</v>
      </c>
      <c r="I5" s="64" t="str">
        <f t="shared" si="3"/>
        <v>0942</v>
      </c>
      <c r="J5" s="101">
        <v>25382</v>
      </c>
      <c r="K5" s="101">
        <v>47513</v>
      </c>
      <c r="L5" s="101">
        <f>29852</f>
        <v>29852</v>
      </c>
      <c r="M5" s="68"/>
      <c r="O5" t="str">
        <f t="shared" si="4"/>
        <v>321</v>
      </c>
      <c r="P5" t="str">
        <f t="shared" si="5"/>
        <v>32</v>
      </c>
      <c r="Q5" t="str">
        <f t="shared" si="6"/>
        <v>11</v>
      </c>
      <c r="R5" t="str">
        <f t="shared" si="7"/>
        <v>94</v>
      </c>
      <c r="S5" t="s">
        <v>478</v>
      </c>
      <c r="T5" t="s">
        <v>479</v>
      </c>
      <c r="V5">
        <v>3111</v>
      </c>
      <c r="W5" t="s">
        <v>635</v>
      </c>
      <c r="Y5" s="221" t="str">
        <f>LEFT(V5,2)</f>
        <v>31</v>
      </c>
      <c r="Z5" t="str">
        <f>LEFT(V5,3)</f>
        <v>311</v>
      </c>
      <c r="AB5" t="s">
        <v>636</v>
      </c>
      <c r="AC5" t="s">
        <v>630</v>
      </c>
    </row>
    <row r="6" spans="1:33">
      <c r="A6" s="64" t="str">
        <f>IF(C6="","",VLOOKUP('OPĆI DIO'!$C$3,'OPĆI DIO'!$L$6:$U$138,10,FALSE))</f>
        <v>08006</v>
      </c>
      <c r="B6" s="64" t="str">
        <f>IF(C6="","",VLOOKUP('OPĆI DIO'!$C$3,'OPĆI DIO'!$L$6:$U$138,9,FALSE))</f>
        <v>Sveučilišta i veleučilišta u Republici Hrvatskoj</v>
      </c>
      <c r="C6" s="69">
        <v>11</v>
      </c>
      <c r="D6" s="64" t="str">
        <f t="shared" si="0"/>
        <v>Opći prihodi i primici</v>
      </c>
      <c r="E6" s="69">
        <v>3121</v>
      </c>
      <c r="F6" s="64" t="str">
        <f t="shared" si="1"/>
        <v>Ostali rashodi za zaposlene</v>
      </c>
      <c r="G6" s="102" t="s">
        <v>634</v>
      </c>
      <c r="H6" s="64" t="str">
        <f t="shared" si="2"/>
        <v>REDOVNA DJELATNOST SVEUČILIŠTA U ZAGREBU</v>
      </c>
      <c r="I6" s="64" t="str">
        <f t="shared" si="3"/>
        <v>0942</v>
      </c>
      <c r="J6" s="101">
        <f>8052+662+23492</f>
        <v>32206</v>
      </c>
      <c r="K6" s="101">
        <v>116040</v>
      </c>
      <c r="L6" s="101">
        <f>6312+2169+1899+36300+221</f>
        <v>46901</v>
      </c>
      <c r="M6" s="68"/>
      <c r="O6" t="str">
        <f t="shared" si="4"/>
        <v>312</v>
      </c>
      <c r="P6" t="str">
        <f t="shared" si="5"/>
        <v>31</v>
      </c>
      <c r="Q6" t="str">
        <f t="shared" si="6"/>
        <v>11</v>
      </c>
      <c r="R6" t="str">
        <f t="shared" si="7"/>
        <v>94</v>
      </c>
      <c r="S6">
        <v>11</v>
      </c>
      <c r="T6" t="s">
        <v>495</v>
      </c>
      <c r="V6">
        <v>3112</v>
      </c>
      <c r="W6" t="s">
        <v>637</v>
      </c>
      <c r="Y6" s="221" t="str">
        <f>LEFT(V6,2)</f>
        <v>31</v>
      </c>
      <c r="Z6" t="str">
        <f>LEFT(V6,3)</f>
        <v>311</v>
      </c>
      <c r="AB6" t="s">
        <v>638</v>
      </c>
      <c r="AC6" t="s">
        <v>638</v>
      </c>
      <c r="AD6" t="s">
        <v>638</v>
      </c>
      <c r="AE6" t="s">
        <v>638</v>
      </c>
      <c r="AF6" t="s">
        <v>638</v>
      </c>
      <c r="AG6" t="s">
        <v>638</v>
      </c>
    </row>
    <row r="7" spans="1:33">
      <c r="A7" s="64" t="str">
        <f>IF(C7="","",VLOOKUP('OPĆI DIO'!$C$3,'OPĆI DIO'!$L$6:$U$138,10,FALSE))</f>
        <v>08006</v>
      </c>
      <c r="B7" s="64" t="str">
        <f>IF(C7="","",VLOOKUP('OPĆI DIO'!$C$3,'OPĆI DIO'!$L$6:$U$138,9,FALSE))</f>
        <v>Sveučilišta i veleučilišta u Republici Hrvatskoj</v>
      </c>
      <c r="C7" s="69">
        <v>11</v>
      </c>
      <c r="D7" s="64" t="str">
        <f t="shared" si="0"/>
        <v>Opći prihodi i primici</v>
      </c>
      <c r="E7" s="69">
        <v>3295</v>
      </c>
      <c r="F7" s="64" t="str">
        <f t="shared" si="1"/>
        <v>Pristojbe i naknade</v>
      </c>
      <c r="G7" s="102" t="s">
        <v>634</v>
      </c>
      <c r="H7" s="64" t="str">
        <f t="shared" si="2"/>
        <v>REDOVNA DJELATNOST SVEUČILIŠTA U ZAGREBU</v>
      </c>
      <c r="I7" s="64" t="str">
        <f t="shared" si="3"/>
        <v>0942</v>
      </c>
      <c r="J7" s="101">
        <v>1851</v>
      </c>
      <c r="K7" s="101"/>
      <c r="L7" s="101">
        <v>1649</v>
      </c>
      <c r="M7" s="68"/>
      <c r="O7" t="str">
        <f t="shared" si="4"/>
        <v>329</v>
      </c>
      <c r="P7" t="str">
        <f t="shared" si="5"/>
        <v>32</v>
      </c>
      <c r="Q7" t="str">
        <f t="shared" si="6"/>
        <v>11</v>
      </c>
      <c r="R7" t="str">
        <f t="shared" si="7"/>
        <v>94</v>
      </c>
      <c r="S7">
        <v>12</v>
      </c>
      <c r="T7" t="s">
        <v>499</v>
      </c>
      <c r="V7">
        <v>3113</v>
      </c>
      <c r="W7" t="s">
        <v>639</v>
      </c>
      <c r="Y7" s="221" t="str">
        <f>LEFT(V7,2)</f>
        <v>31</v>
      </c>
      <c r="Z7" t="str">
        <f>LEFT(V7,3)</f>
        <v>311</v>
      </c>
      <c r="AB7" t="s">
        <v>640</v>
      </c>
      <c r="AC7" t="s">
        <v>641</v>
      </c>
      <c r="AD7" t="s">
        <v>642</v>
      </c>
      <c r="AE7" t="s">
        <v>643</v>
      </c>
      <c r="AF7" t="s">
        <v>644</v>
      </c>
      <c r="AG7" t="s">
        <v>645</v>
      </c>
    </row>
    <row r="8" spans="1:33">
      <c r="A8" s="64" t="str">
        <f>IF(C8="","",VLOOKUP('OPĆI DIO'!$C$3,'OPĆI DIO'!$L$6:$U$138,10,FALSE))</f>
        <v>08006</v>
      </c>
      <c r="B8" s="64" t="str">
        <f>IF(C8="","",VLOOKUP('OPĆI DIO'!$C$3,'OPĆI DIO'!$L$6:$U$138,9,FALSE))</f>
        <v>Sveučilišta i veleučilišta u Republici Hrvatskoj</v>
      </c>
      <c r="C8" s="69">
        <v>11</v>
      </c>
      <c r="D8" s="64" t="str">
        <f t="shared" si="0"/>
        <v>Opći prihodi i primici</v>
      </c>
      <c r="E8" s="69">
        <v>3223</v>
      </c>
      <c r="F8" s="64" t="str">
        <f t="shared" si="1"/>
        <v>Energija</v>
      </c>
      <c r="G8" s="102" t="s">
        <v>634</v>
      </c>
      <c r="H8" s="64" t="str">
        <f t="shared" si="2"/>
        <v>REDOVNA DJELATNOST SVEUČILIŠTA U ZAGREBU</v>
      </c>
      <c r="I8" s="64" t="str">
        <f t="shared" si="3"/>
        <v>0942</v>
      </c>
      <c r="J8" s="101">
        <v>1615</v>
      </c>
      <c r="K8" s="101"/>
      <c r="L8" s="101"/>
      <c r="M8" s="68"/>
      <c r="O8" t="str">
        <f t="shared" si="4"/>
        <v>322</v>
      </c>
      <c r="P8" t="str">
        <f t="shared" si="5"/>
        <v>32</v>
      </c>
      <c r="Q8" t="str">
        <f t="shared" si="6"/>
        <v>11</v>
      </c>
      <c r="R8" t="str">
        <f t="shared" si="7"/>
        <v>94</v>
      </c>
      <c r="S8">
        <v>31</v>
      </c>
      <c r="T8" t="s">
        <v>500</v>
      </c>
      <c r="V8">
        <v>3114</v>
      </c>
      <c r="W8" t="s">
        <v>646</v>
      </c>
      <c r="Y8" s="221" t="str">
        <f>LEFT(V8,2)</f>
        <v>31</v>
      </c>
      <c r="Z8" t="str">
        <f>LEFT(V8,3)</f>
        <v>311</v>
      </c>
      <c r="AB8" t="s">
        <v>647</v>
      </c>
      <c r="AC8" t="s">
        <v>648</v>
      </c>
      <c r="AD8" t="s">
        <v>649</v>
      </c>
      <c r="AE8" t="s">
        <v>650</v>
      </c>
      <c r="AF8" t="s">
        <v>651</v>
      </c>
      <c r="AG8" t="s">
        <v>652</v>
      </c>
    </row>
    <row r="9" spans="1:33">
      <c r="A9" s="64" t="str">
        <f>IF(C9="","",VLOOKUP('OPĆI DIO'!$C$3,'OPĆI DIO'!$L$6:$U$138,10,FALSE))</f>
        <v>08006</v>
      </c>
      <c r="B9" s="64" t="str">
        <f>IF(C9="","",VLOOKUP('OPĆI DIO'!$C$3,'OPĆI DIO'!$L$6:$U$138,9,FALSE))</f>
        <v>Sveučilišta i veleučilišta u Republici Hrvatskoj</v>
      </c>
      <c r="C9" s="69">
        <v>11</v>
      </c>
      <c r="D9" s="64" t="str">
        <f t="shared" si="0"/>
        <v>Opći prihodi i primici</v>
      </c>
      <c r="E9" s="69">
        <v>3211</v>
      </c>
      <c r="F9" s="64" t="str">
        <f t="shared" si="1"/>
        <v>Službena putovanja</v>
      </c>
      <c r="G9" s="102" t="s">
        <v>653</v>
      </c>
      <c r="H9" s="64" t="str">
        <f t="shared" si="2"/>
        <v>PROGRAMSKO FINANCIRANJE JAVNIH VISOKIH UČILIŠTA</v>
      </c>
      <c r="I9" s="64" t="str">
        <f t="shared" si="3"/>
        <v>0942</v>
      </c>
      <c r="J9" s="101">
        <f>279+9239+8414+3274</f>
        <v>21206</v>
      </c>
      <c r="K9" s="101">
        <v>18847</v>
      </c>
      <c r="L9" s="101">
        <f>23+4030+266+4680+1496</f>
        <v>10495</v>
      </c>
      <c r="M9" s="68"/>
      <c r="O9" t="str">
        <f t="shared" si="4"/>
        <v>321</v>
      </c>
      <c r="P9" t="str">
        <f t="shared" si="5"/>
        <v>32</v>
      </c>
      <c r="Q9" t="str">
        <f t="shared" si="6"/>
        <v>11</v>
      </c>
      <c r="R9" t="str">
        <f t="shared" si="7"/>
        <v>94</v>
      </c>
      <c r="S9">
        <v>41</v>
      </c>
      <c r="T9" t="s">
        <v>502</v>
      </c>
      <c r="V9">
        <v>3121</v>
      </c>
      <c r="W9" t="s">
        <v>654</v>
      </c>
      <c r="Y9" s="221" t="str">
        <f>LEFT(V9,2)</f>
        <v>31</v>
      </c>
      <c r="Z9" t="str">
        <f>LEFT(V9,3)</f>
        <v>312</v>
      </c>
      <c r="AB9" t="s">
        <v>655</v>
      </c>
      <c r="AC9" t="s">
        <v>656</v>
      </c>
      <c r="AD9" t="s">
        <v>657</v>
      </c>
      <c r="AE9" t="s">
        <v>658</v>
      </c>
      <c r="AF9" t="s">
        <v>644</v>
      </c>
      <c r="AG9" t="s">
        <v>659</v>
      </c>
    </row>
    <row r="10" spans="1:33">
      <c r="A10" s="64" t="str">
        <f>IF(C10="","",VLOOKUP('OPĆI DIO'!$C$3,'OPĆI DIO'!$L$6:$U$138,10,FALSE))</f>
        <v>08006</v>
      </c>
      <c r="B10" s="64" t="str">
        <f>IF(C10="","",VLOOKUP('OPĆI DIO'!$C$3,'OPĆI DIO'!$L$6:$U$138,9,FALSE))</f>
        <v>Sveučilišta i veleučilišta u Republici Hrvatskoj</v>
      </c>
      <c r="C10" s="69">
        <v>11</v>
      </c>
      <c r="D10" s="64" t="str">
        <f t="shared" si="0"/>
        <v>Opći prihodi i primici</v>
      </c>
      <c r="E10" s="69">
        <v>3221</v>
      </c>
      <c r="F10" s="64" t="str">
        <f t="shared" si="1"/>
        <v>Uredski materijal i ostali materijalni rashodi</v>
      </c>
      <c r="G10" s="102" t="s">
        <v>653</v>
      </c>
      <c r="H10" s="64" t="str">
        <f t="shared" si="2"/>
        <v>PROGRAMSKO FINANCIRANJE JAVNIH VISOKIH UČILIŠTA</v>
      </c>
      <c r="I10" s="64" t="str">
        <f t="shared" si="3"/>
        <v>0942</v>
      </c>
      <c r="J10" s="101">
        <f>80+384+43</f>
        <v>507</v>
      </c>
      <c r="K10" s="101">
        <v>1659</v>
      </c>
      <c r="L10" s="101">
        <v>20</v>
      </c>
      <c r="M10" s="68"/>
      <c r="O10" t="str">
        <f t="shared" si="4"/>
        <v>322</v>
      </c>
      <c r="P10" t="str">
        <f t="shared" si="5"/>
        <v>32</v>
      </c>
      <c r="Q10" t="str">
        <f t="shared" si="6"/>
        <v>11</v>
      </c>
      <c r="R10" t="str">
        <f t="shared" si="7"/>
        <v>94</v>
      </c>
      <c r="S10">
        <v>43</v>
      </c>
      <c r="T10" t="s">
        <v>505</v>
      </c>
      <c r="V10" s="109">
        <v>3132</v>
      </c>
      <c r="W10" s="109" t="s">
        <v>660</v>
      </c>
      <c r="X10" s="109"/>
      <c r="Y10" s="221" t="str">
        <f t="shared" ref="Y10:Y41" si="8">LEFT(V10,2)</f>
        <v>31</v>
      </c>
      <c r="Z10" s="109" t="str">
        <f t="shared" ref="Z10:Z41" si="9">LEFT(V10,3)</f>
        <v>313</v>
      </c>
      <c r="AB10" t="s">
        <v>661</v>
      </c>
      <c r="AC10" t="s">
        <v>662</v>
      </c>
      <c r="AD10" t="s">
        <v>657</v>
      </c>
      <c r="AE10" t="s">
        <v>658</v>
      </c>
      <c r="AF10" t="s">
        <v>644</v>
      </c>
      <c r="AG10" t="s">
        <v>659</v>
      </c>
    </row>
    <row r="11" spans="1:33">
      <c r="A11" s="64" t="str">
        <f>IF(C11="","",VLOOKUP('OPĆI DIO'!$C$3,'OPĆI DIO'!$L$6:$U$138,10,FALSE))</f>
        <v>08006</v>
      </c>
      <c r="B11" s="64" t="str">
        <f>IF(C11="","",VLOOKUP('OPĆI DIO'!$C$3,'OPĆI DIO'!$L$6:$U$138,9,FALSE))</f>
        <v>Sveučilišta i veleučilišta u Republici Hrvatskoj</v>
      </c>
      <c r="C11" s="69">
        <v>11</v>
      </c>
      <c r="D11" s="64" t="str">
        <f t="shared" si="0"/>
        <v>Opći prihodi i primici</v>
      </c>
      <c r="E11" s="69">
        <v>3223</v>
      </c>
      <c r="F11" s="64" t="str">
        <f t="shared" si="1"/>
        <v>Energija</v>
      </c>
      <c r="G11" s="102" t="s">
        <v>653</v>
      </c>
      <c r="H11" s="64" t="str">
        <f t="shared" si="2"/>
        <v>PROGRAMSKO FINANCIRANJE JAVNIH VISOKIH UČILIŠTA</v>
      </c>
      <c r="I11" s="64" t="str">
        <f t="shared" si="3"/>
        <v>0942</v>
      </c>
      <c r="J11" s="101">
        <v>137</v>
      </c>
      <c r="K11" s="101">
        <v>41875</v>
      </c>
      <c r="L11" s="101"/>
      <c r="M11" s="68"/>
      <c r="O11" t="str">
        <f t="shared" si="4"/>
        <v>322</v>
      </c>
      <c r="P11" t="str">
        <f t="shared" si="5"/>
        <v>32</v>
      </c>
      <c r="Q11" t="str">
        <f t="shared" si="6"/>
        <v>11</v>
      </c>
      <c r="R11" t="str">
        <f t="shared" si="7"/>
        <v>94</v>
      </c>
      <c r="S11">
        <v>51</v>
      </c>
      <c r="T11" t="s">
        <v>494</v>
      </c>
      <c r="V11">
        <v>3211</v>
      </c>
      <c r="W11" t="s">
        <v>663</v>
      </c>
      <c r="Y11" s="221" t="str">
        <f t="shared" si="8"/>
        <v>32</v>
      </c>
      <c r="Z11" t="str">
        <f t="shared" si="9"/>
        <v>321</v>
      </c>
      <c r="AB11" t="s">
        <v>661</v>
      </c>
      <c r="AC11" t="s">
        <v>662</v>
      </c>
      <c r="AD11" t="s">
        <v>664</v>
      </c>
      <c r="AE11" t="s">
        <v>665</v>
      </c>
      <c r="AF11" t="s">
        <v>644</v>
      </c>
      <c r="AG11" t="s">
        <v>666</v>
      </c>
    </row>
    <row r="12" spans="1:33">
      <c r="A12" s="64" t="str">
        <f>IF(C12="","",VLOOKUP('OPĆI DIO'!$C$3,'OPĆI DIO'!$L$6:$U$138,10,FALSE))</f>
        <v>08006</v>
      </c>
      <c r="B12" s="64" t="str">
        <f>IF(C12="","",VLOOKUP('OPĆI DIO'!$C$3,'OPĆI DIO'!$L$6:$U$138,9,FALSE))</f>
        <v>Sveučilišta i veleučilišta u Republici Hrvatskoj</v>
      </c>
      <c r="C12" s="69">
        <v>11</v>
      </c>
      <c r="D12" s="64" t="str">
        <f t="shared" si="0"/>
        <v>Opći prihodi i primici</v>
      </c>
      <c r="E12" s="69">
        <v>3225</v>
      </c>
      <c r="F12" s="64" t="str">
        <f t="shared" si="1"/>
        <v>Sitni inventar i auto gume</v>
      </c>
      <c r="G12" s="102" t="s">
        <v>653</v>
      </c>
      <c r="H12" s="64" t="str">
        <f t="shared" si="2"/>
        <v>PROGRAMSKO FINANCIRANJE JAVNIH VISOKIH UČILIŠTA</v>
      </c>
      <c r="I12" s="64" t="str">
        <f t="shared" si="3"/>
        <v>0942</v>
      </c>
      <c r="J12" s="101">
        <v>812</v>
      </c>
      <c r="K12" s="101"/>
      <c r="L12" s="101"/>
      <c r="M12" s="68"/>
      <c r="O12" t="str">
        <f t="shared" si="4"/>
        <v>322</v>
      </c>
      <c r="P12" t="str">
        <f t="shared" si="5"/>
        <v>32</v>
      </c>
      <c r="Q12" t="str">
        <f t="shared" si="6"/>
        <v>11</v>
      </c>
      <c r="R12" t="str">
        <f t="shared" si="7"/>
        <v>94</v>
      </c>
      <c r="S12">
        <v>52</v>
      </c>
      <c r="T12" t="s">
        <v>497</v>
      </c>
      <c r="V12">
        <v>3212</v>
      </c>
      <c r="W12" t="s">
        <v>667</v>
      </c>
      <c r="Y12" s="221" t="str">
        <f t="shared" si="8"/>
        <v>32</v>
      </c>
      <c r="Z12" t="str">
        <f t="shared" si="9"/>
        <v>321</v>
      </c>
      <c r="AB12" t="s">
        <v>668</v>
      </c>
      <c r="AC12" t="s">
        <v>669</v>
      </c>
      <c r="AD12" t="s">
        <v>657</v>
      </c>
      <c r="AE12" t="s">
        <v>658</v>
      </c>
      <c r="AF12" t="s">
        <v>644</v>
      </c>
      <c r="AG12" t="s">
        <v>659</v>
      </c>
    </row>
    <row r="13" spans="1:33">
      <c r="A13" s="64" t="str">
        <f>IF(C13="","",VLOOKUP('OPĆI DIO'!$C$3,'OPĆI DIO'!$L$6:$U$138,10,FALSE))</f>
        <v>08006</v>
      </c>
      <c r="B13" s="64" t="str">
        <f>IF(C13="","",VLOOKUP('OPĆI DIO'!$C$3,'OPĆI DIO'!$L$6:$U$138,9,FALSE))</f>
        <v>Sveučilišta i veleučilišta u Republici Hrvatskoj</v>
      </c>
      <c r="C13" s="69">
        <v>11</v>
      </c>
      <c r="D13" s="64" t="str">
        <f t="shared" si="0"/>
        <v>Opći prihodi i primici</v>
      </c>
      <c r="E13" s="69">
        <v>3235</v>
      </c>
      <c r="F13" s="64" t="str">
        <f t="shared" si="1"/>
        <v>Zakupnine i najamnine</v>
      </c>
      <c r="G13" s="102" t="s">
        <v>653</v>
      </c>
      <c r="H13" s="64" t="str">
        <f t="shared" si="2"/>
        <v>PROGRAMSKO FINANCIRANJE JAVNIH VISOKIH UČILIŠTA</v>
      </c>
      <c r="I13" s="64" t="str">
        <f t="shared" si="3"/>
        <v>0942</v>
      </c>
      <c r="J13" s="101">
        <f>12039+2287</f>
        <v>14326</v>
      </c>
      <c r="K13" s="101">
        <v>28934</v>
      </c>
      <c r="L13" s="101">
        <f>4985+1880</f>
        <v>6865</v>
      </c>
      <c r="M13" s="68"/>
      <c r="O13" t="str">
        <f t="shared" si="4"/>
        <v>323</v>
      </c>
      <c r="P13" t="str">
        <f t="shared" si="5"/>
        <v>32</v>
      </c>
      <c r="Q13" t="str">
        <f t="shared" si="6"/>
        <v>11</v>
      </c>
      <c r="R13" t="str">
        <f t="shared" si="7"/>
        <v>94</v>
      </c>
      <c r="S13">
        <v>552</v>
      </c>
      <c r="T13" t="s">
        <v>511</v>
      </c>
      <c r="V13">
        <v>3213</v>
      </c>
      <c r="W13" t="s">
        <v>670</v>
      </c>
      <c r="Y13" s="221" t="str">
        <f t="shared" si="8"/>
        <v>32</v>
      </c>
      <c r="Z13" t="str">
        <f t="shared" si="9"/>
        <v>321</v>
      </c>
      <c r="AB13" t="s">
        <v>671</v>
      </c>
      <c r="AC13" t="s">
        <v>672</v>
      </c>
      <c r="AD13" t="s">
        <v>657</v>
      </c>
      <c r="AE13" t="s">
        <v>658</v>
      </c>
      <c r="AF13" t="s">
        <v>644</v>
      </c>
      <c r="AG13" t="s">
        <v>659</v>
      </c>
    </row>
    <row r="14" spans="1:33">
      <c r="A14" s="64" t="str">
        <f>IF(C14="","",VLOOKUP('OPĆI DIO'!$C$3,'OPĆI DIO'!$L$6:$U$138,10,FALSE))</f>
        <v>08006</v>
      </c>
      <c r="B14" s="64" t="str">
        <f>IF(C14="","",VLOOKUP('OPĆI DIO'!$C$3,'OPĆI DIO'!$L$6:$U$138,9,FALSE))</f>
        <v>Sveučilišta i veleučilišta u Republici Hrvatskoj</v>
      </c>
      <c r="C14" s="69">
        <v>11</v>
      </c>
      <c r="D14" s="64" t="str">
        <f t="shared" si="0"/>
        <v>Opći prihodi i primici</v>
      </c>
      <c r="E14" s="69">
        <v>3237</v>
      </c>
      <c r="F14" s="64" t="s">
        <v>673</v>
      </c>
      <c r="G14" s="102" t="s">
        <v>653</v>
      </c>
      <c r="H14" s="64" t="str">
        <f t="shared" si="2"/>
        <v>PROGRAMSKO FINANCIRANJE JAVNIH VISOKIH UČILIŠTA</v>
      </c>
      <c r="I14" s="64" t="str">
        <f t="shared" si="3"/>
        <v>0942</v>
      </c>
      <c r="J14" s="101">
        <f>14459+4094+2061+1546+10077</f>
        <v>32237</v>
      </c>
      <c r="K14" s="101">
        <f>131442-11461</f>
        <v>119981</v>
      </c>
      <c r="L14" s="101">
        <f>11770+12605+8052</f>
        <v>32427</v>
      </c>
      <c r="M14" s="68"/>
      <c r="O14" t="str">
        <f t="shared" si="4"/>
        <v>323</v>
      </c>
      <c r="P14" t="str">
        <f t="shared" si="5"/>
        <v>32</v>
      </c>
      <c r="Q14" t="str">
        <f t="shared" si="6"/>
        <v>11</v>
      </c>
      <c r="R14" t="str">
        <f t="shared" si="7"/>
        <v>94</v>
      </c>
      <c r="S14">
        <v>559</v>
      </c>
      <c r="T14" t="s">
        <v>513</v>
      </c>
      <c r="V14">
        <v>3214</v>
      </c>
      <c r="W14" t="s">
        <v>674</v>
      </c>
      <c r="Y14" s="221" t="str">
        <f t="shared" si="8"/>
        <v>32</v>
      </c>
      <c r="Z14" t="str">
        <f t="shared" si="9"/>
        <v>321</v>
      </c>
      <c r="AB14" t="s">
        <v>675</v>
      </c>
      <c r="AC14" t="s">
        <v>676</v>
      </c>
      <c r="AD14" t="s">
        <v>677</v>
      </c>
      <c r="AE14" t="s">
        <v>678</v>
      </c>
      <c r="AF14" t="s">
        <v>644</v>
      </c>
      <c r="AG14" t="s">
        <v>679</v>
      </c>
    </row>
    <row r="15" spans="1:33">
      <c r="A15" s="64" t="str">
        <f>IF(C15="","",VLOOKUP('OPĆI DIO'!$C$3,'OPĆI DIO'!$L$6:$U$138,10,FALSE))</f>
        <v>08006</v>
      </c>
      <c r="B15" s="64" t="str">
        <f>IF(C15="","",VLOOKUP('OPĆI DIO'!$C$3,'OPĆI DIO'!$L$6:$U$138,9,FALSE))</f>
        <v>Sveučilišta i veleučilišta u Republici Hrvatskoj</v>
      </c>
      <c r="C15" s="69">
        <v>11</v>
      </c>
      <c r="D15" s="64" t="str">
        <f t="shared" si="0"/>
        <v>Opći prihodi i primici</v>
      </c>
      <c r="E15" s="69">
        <v>3241</v>
      </c>
      <c r="F15" s="64" t="str">
        <f t="shared" ref="F15:F78" si="10">IFERROR(VLOOKUP(E15,$V$5:$X$127,2,FALSE),"")</f>
        <v>Naknade troškova osobama izvan radnog odnosa</v>
      </c>
      <c r="G15" s="102" t="s">
        <v>653</v>
      </c>
      <c r="H15" s="64" t="str">
        <f t="shared" si="2"/>
        <v>PROGRAMSKO FINANCIRANJE JAVNIH VISOKIH UČILIŠTA</v>
      </c>
      <c r="I15" s="64" t="str">
        <f t="shared" si="3"/>
        <v>0942</v>
      </c>
      <c r="J15" s="101">
        <v>16269</v>
      </c>
      <c r="K15" s="101">
        <v>17254</v>
      </c>
      <c r="L15" s="101"/>
      <c r="M15" s="68"/>
      <c r="O15" t="str">
        <f t="shared" si="4"/>
        <v>324</v>
      </c>
      <c r="P15" t="str">
        <f t="shared" si="5"/>
        <v>32</v>
      </c>
      <c r="Q15" t="str">
        <f t="shared" si="6"/>
        <v>11</v>
      </c>
      <c r="R15" t="str">
        <f t="shared" si="7"/>
        <v>94</v>
      </c>
      <c r="S15">
        <v>561</v>
      </c>
      <c r="T15" t="s">
        <v>515</v>
      </c>
      <c r="V15">
        <v>3221</v>
      </c>
      <c r="W15" t="s">
        <v>680</v>
      </c>
      <c r="Y15" s="221" t="str">
        <f t="shared" si="8"/>
        <v>32</v>
      </c>
      <c r="Z15" t="str">
        <f t="shared" si="9"/>
        <v>322</v>
      </c>
      <c r="AB15" t="s">
        <v>681</v>
      </c>
      <c r="AC15" t="s">
        <v>682</v>
      </c>
      <c r="AD15" t="s">
        <v>642</v>
      </c>
      <c r="AE15" t="s">
        <v>643</v>
      </c>
      <c r="AF15" t="s">
        <v>644</v>
      </c>
      <c r="AG15" t="s">
        <v>645</v>
      </c>
    </row>
    <row r="16" spans="1:33">
      <c r="A16" s="64" t="str">
        <f>IF(C16="","",VLOOKUP('OPĆI DIO'!$C$3,'OPĆI DIO'!$L$6:$U$138,10,FALSE))</f>
        <v>08006</v>
      </c>
      <c r="B16" s="64" t="str">
        <f>IF(C16="","",VLOOKUP('OPĆI DIO'!$C$3,'OPĆI DIO'!$L$6:$U$138,9,FALSE))</f>
        <v>Sveučilišta i veleučilišta u Republici Hrvatskoj</v>
      </c>
      <c r="C16" s="69">
        <v>11</v>
      </c>
      <c r="D16" s="64" t="str">
        <f t="shared" si="0"/>
        <v>Opći prihodi i primici</v>
      </c>
      <c r="E16" s="69">
        <v>3293</v>
      </c>
      <c r="F16" s="64" t="str">
        <f t="shared" si="10"/>
        <v>Reprezentacija</v>
      </c>
      <c r="G16" s="102" t="s">
        <v>653</v>
      </c>
      <c r="H16" s="64" t="str">
        <f t="shared" si="2"/>
        <v>PROGRAMSKO FINANCIRANJE JAVNIH VISOKIH UČILIŠTA</v>
      </c>
      <c r="I16" s="64" t="str">
        <f t="shared" si="3"/>
        <v>0942</v>
      </c>
      <c r="J16" s="101">
        <v>700</v>
      </c>
      <c r="K16" s="101">
        <v>796</v>
      </c>
      <c r="L16" s="101"/>
      <c r="M16" s="68"/>
      <c r="O16" t="str">
        <f t="shared" si="4"/>
        <v>329</v>
      </c>
      <c r="P16" t="str">
        <f t="shared" si="5"/>
        <v>32</v>
      </c>
      <c r="Q16" t="str">
        <f t="shared" si="6"/>
        <v>11</v>
      </c>
      <c r="R16" t="str">
        <f t="shared" si="7"/>
        <v>94</v>
      </c>
      <c r="S16">
        <v>563</v>
      </c>
      <c r="T16" t="s">
        <v>517</v>
      </c>
      <c r="V16">
        <v>3222</v>
      </c>
      <c r="W16" t="s">
        <v>683</v>
      </c>
      <c r="Y16" s="221" t="str">
        <f t="shared" si="8"/>
        <v>32</v>
      </c>
      <c r="Z16" t="str">
        <f t="shared" si="9"/>
        <v>322</v>
      </c>
      <c r="AB16" t="s">
        <v>684</v>
      </c>
      <c r="AC16" t="s">
        <v>685</v>
      </c>
      <c r="AD16" t="s">
        <v>686</v>
      </c>
      <c r="AE16" t="s">
        <v>687</v>
      </c>
      <c r="AF16" t="s">
        <v>688</v>
      </c>
      <c r="AG16" t="s">
        <v>689</v>
      </c>
    </row>
    <row r="17" spans="1:33">
      <c r="A17" s="64" t="str">
        <f>IF(C17="","",VLOOKUP('OPĆI DIO'!$C$3,'OPĆI DIO'!$L$6:$U$138,10,FALSE))</f>
        <v>08006</v>
      </c>
      <c r="B17" s="64" t="str">
        <f>IF(C17="","",VLOOKUP('OPĆI DIO'!$C$3,'OPĆI DIO'!$L$6:$U$138,9,FALSE))</f>
        <v>Sveučilišta i veleučilišta u Republici Hrvatskoj</v>
      </c>
      <c r="C17" s="69">
        <v>11</v>
      </c>
      <c r="D17" s="64" t="str">
        <f t="shared" si="0"/>
        <v>Opći prihodi i primici</v>
      </c>
      <c r="E17" s="69">
        <v>3294</v>
      </c>
      <c r="F17" s="64" t="str">
        <f t="shared" si="10"/>
        <v>Članarine i norme</v>
      </c>
      <c r="G17" s="102" t="s">
        <v>653</v>
      </c>
      <c r="H17" s="64" t="str">
        <f t="shared" si="2"/>
        <v>PROGRAMSKO FINANCIRANJE JAVNIH VISOKIH UČILIŠTA</v>
      </c>
      <c r="I17" s="64" t="str">
        <f t="shared" si="3"/>
        <v>0942</v>
      </c>
      <c r="J17" s="101">
        <v>1593</v>
      </c>
      <c r="K17" s="101"/>
      <c r="L17" s="101"/>
      <c r="M17" s="68"/>
      <c r="O17" t="str">
        <f t="shared" si="4"/>
        <v>329</v>
      </c>
      <c r="P17" t="str">
        <f t="shared" si="5"/>
        <v>32</v>
      </c>
      <c r="Q17" t="str">
        <f t="shared" si="6"/>
        <v>11</v>
      </c>
      <c r="R17" t="str">
        <f t="shared" si="7"/>
        <v>94</v>
      </c>
      <c r="S17">
        <v>573</v>
      </c>
      <c r="T17" t="s">
        <v>519</v>
      </c>
      <c r="V17">
        <v>3223</v>
      </c>
      <c r="W17" t="s">
        <v>690</v>
      </c>
      <c r="Y17" s="221" t="str">
        <f t="shared" si="8"/>
        <v>32</v>
      </c>
      <c r="Z17" t="str">
        <f t="shared" si="9"/>
        <v>322</v>
      </c>
      <c r="AB17" t="s">
        <v>691</v>
      </c>
      <c r="AC17" t="s">
        <v>692</v>
      </c>
      <c r="AD17" t="s">
        <v>657</v>
      </c>
      <c r="AE17" t="s">
        <v>658</v>
      </c>
      <c r="AF17" t="s">
        <v>644</v>
      </c>
      <c r="AG17" t="s">
        <v>659</v>
      </c>
    </row>
    <row r="18" spans="1:33">
      <c r="A18" s="64" t="str">
        <f>IF(C18="","",VLOOKUP('OPĆI DIO'!$C$3,'OPĆI DIO'!$L$6:$U$138,10,FALSE))</f>
        <v>08006</v>
      </c>
      <c r="B18" s="64" t="str">
        <f>IF(C18="","",VLOOKUP('OPĆI DIO'!$C$3,'OPĆI DIO'!$L$6:$U$138,9,FALSE))</f>
        <v>Sveučilišta i veleučilišta u Republici Hrvatskoj</v>
      </c>
      <c r="C18" s="69">
        <v>11</v>
      </c>
      <c r="D18" s="64" t="str">
        <f t="shared" si="0"/>
        <v>Opći prihodi i primici</v>
      </c>
      <c r="E18" s="69">
        <v>3432</v>
      </c>
      <c r="F18" s="64" t="str">
        <f t="shared" si="10"/>
        <v>Negativne tečajne razlike i razlike zbog primjene valutne kl</v>
      </c>
      <c r="G18" s="102" t="s">
        <v>653</v>
      </c>
      <c r="H18" s="64" t="str">
        <f t="shared" si="2"/>
        <v>PROGRAMSKO FINANCIRANJE JAVNIH VISOKIH UČILIŠTA</v>
      </c>
      <c r="I18" s="64" t="str">
        <f t="shared" si="3"/>
        <v>0942</v>
      </c>
      <c r="J18" s="101">
        <f>27+84</f>
        <v>111</v>
      </c>
      <c r="K18" s="101"/>
      <c r="L18" s="101"/>
      <c r="M18" s="68"/>
      <c r="O18" t="str">
        <f t="shared" si="4"/>
        <v>343</v>
      </c>
      <c r="P18" t="str">
        <f t="shared" si="5"/>
        <v>34</v>
      </c>
      <c r="Q18" t="str">
        <f t="shared" si="6"/>
        <v>11</v>
      </c>
      <c r="R18" t="str">
        <f t="shared" si="7"/>
        <v>94</v>
      </c>
      <c r="S18">
        <v>575</v>
      </c>
      <c r="T18" t="s">
        <v>521</v>
      </c>
      <c r="V18">
        <v>3224</v>
      </c>
      <c r="W18" t="s">
        <v>693</v>
      </c>
      <c r="Y18" s="221" t="str">
        <f t="shared" si="8"/>
        <v>32</v>
      </c>
      <c r="Z18" t="str">
        <f t="shared" si="9"/>
        <v>322</v>
      </c>
      <c r="AB18" t="s">
        <v>694</v>
      </c>
      <c r="AC18" t="s">
        <v>695</v>
      </c>
      <c r="AD18" t="s">
        <v>657</v>
      </c>
      <c r="AE18" t="s">
        <v>658</v>
      </c>
      <c r="AF18" t="s">
        <v>644</v>
      </c>
      <c r="AG18" t="s">
        <v>659</v>
      </c>
    </row>
    <row r="19" spans="1:33">
      <c r="A19" s="64" t="str">
        <f>IF(C19="","",VLOOKUP('OPĆI DIO'!$C$3,'OPĆI DIO'!$L$6:$U$138,10,FALSE))</f>
        <v>08006</v>
      </c>
      <c r="B19" s="64" t="str">
        <f>IF(C19="","",VLOOKUP('OPĆI DIO'!$C$3,'OPĆI DIO'!$L$6:$U$138,9,FALSE))</f>
        <v>Sveučilišta i veleučilišta u Republici Hrvatskoj</v>
      </c>
      <c r="C19" s="69">
        <v>11</v>
      </c>
      <c r="D19" s="64" t="str">
        <f t="shared" si="0"/>
        <v>Opći prihodi i primici</v>
      </c>
      <c r="E19" s="69">
        <v>4225</v>
      </c>
      <c r="F19" s="64" t="str">
        <f t="shared" si="10"/>
        <v>Instrumenti, uređaji i strojevi</v>
      </c>
      <c r="G19" s="102" t="s">
        <v>653</v>
      </c>
      <c r="H19" s="64" t="str">
        <f t="shared" si="2"/>
        <v>PROGRAMSKO FINANCIRANJE JAVNIH VISOKIH UČILIŠTA</v>
      </c>
      <c r="I19" s="64" t="str">
        <f t="shared" si="3"/>
        <v>0942</v>
      </c>
      <c r="J19" s="101">
        <f>6781+446</f>
        <v>7227</v>
      </c>
      <c r="K19" s="101">
        <v>47780</v>
      </c>
      <c r="L19" s="101"/>
      <c r="M19" s="68"/>
      <c r="O19" t="str">
        <f t="shared" si="4"/>
        <v>422</v>
      </c>
      <c r="P19" t="str">
        <f t="shared" si="5"/>
        <v>42</v>
      </c>
      <c r="Q19" t="str">
        <f t="shared" si="6"/>
        <v>11</v>
      </c>
      <c r="R19" t="str">
        <f t="shared" si="7"/>
        <v>94</v>
      </c>
      <c r="S19" s="161">
        <v>5761</v>
      </c>
      <c r="T19" s="120" t="s">
        <v>523</v>
      </c>
      <c r="V19">
        <v>3225</v>
      </c>
      <c r="W19" t="s">
        <v>696</v>
      </c>
      <c r="Y19" s="221" t="str">
        <f t="shared" si="8"/>
        <v>32</v>
      </c>
      <c r="Z19" t="str">
        <f t="shared" si="9"/>
        <v>322</v>
      </c>
      <c r="AB19" t="s">
        <v>697</v>
      </c>
      <c r="AC19" t="s">
        <v>698</v>
      </c>
      <c r="AD19" t="s">
        <v>657</v>
      </c>
      <c r="AE19" t="s">
        <v>658</v>
      </c>
      <c r="AF19" t="s">
        <v>644</v>
      </c>
      <c r="AG19" t="s">
        <v>659</v>
      </c>
    </row>
    <row r="20" spans="1:33">
      <c r="A20" s="64" t="str">
        <f>IF(C20="","",VLOOKUP('OPĆI DIO'!$C$3,'OPĆI DIO'!$L$6:$U$138,10,FALSE))</f>
        <v>08006</v>
      </c>
      <c r="B20" s="64" t="str">
        <f>IF(C20="","",VLOOKUP('OPĆI DIO'!$C$3,'OPĆI DIO'!$L$6:$U$138,9,FALSE))</f>
        <v>Sveučilišta i veleučilišta u Republici Hrvatskoj</v>
      </c>
      <c r="C20" s="69">
        <v>11</v>
      </c>
      <c r="D20" s="64" t="str">
        <f t="shared" si="0"/>
        <v>Opći prihodi i primici</v>
      </c>
      <c r="E20" s="69">
        <v>3237</v>
      </c>
      <c r="F20" s="64" t="str">
        <f t="shared" si="10"/>
        <v>Intelektualne i osobne usluge</v>
      </c>
      <c r="G20" s="102" t="s">
        <v>699</v>
      </c>
      <c r="H20" s="64" t="str">
        <f t="shared" si="2"/>
        <v>PROGRAMI VJEŽBAONICA VISOKIH UČILIŠTA</v>
      </c>
      <c r="I20" s="64" t="str">
        <f t="shared" si="3"/>
        <v>0942</v>
      </c>
      <c r="J20" s="101">
        <v>5833</v>
      </c>
      <c r="K20" s="101">
        <v>11461</v>
      </c>
      <c r="L20" s="101">
        <v>10925</v>
      </c>
      <c r="M20" s="68"/>
      <c r="O20" t="str">
        <f t="shared" si="4"/>
        <v>323</v>
      </c>
      <c r="P20" t="str">
        <f t="shared" si="5"/>
        <v>32</v>
      </c>
      <c r="Q20" t="str">
        <f t="shared" si="6"/>
        <v>11</v>
      </c>
      <c r="R20" t="str">
        <f t="shared" si="7"/>
        <v>94</v>
      </c>
      <c r="S20" s="161">
        <v>5762</v>
      </c>
      <c r="T20" s="120" t="s">
        <v>523</v>
      </c>
      <c r="V20">
        <v>3226</v>
      </c>
      <c r="W20" t="s">
        <v>700</v>
      </c>
      <c r="Y20" s="221" t="str">
        <f t="shared" si="8"/>
        <v>32</v>
      </c>
      <c r="Z20" t="str">
        <f t="shared" si="9"/>
        <v>322</v>
      </c>
      <c r="AB20" t="s">
        <v>701</v>
      </c>
      <c r="AC20" t="s">
        <v>702</v>
      </c>
      <c r="AD20" t="s">
        <v>657</v>
      </c>
      <c r="AE20" t="s">
        <v>658</v>
      </c>
      <c r="AF20" t="s">
        <v>644</v>
      </c>
      <c r="AG20" t="s">
        <v>659</v>
      </c>
    </row>
    <row r="21" spans="1:33">
      <c r="A21" s="64" t="str">
        <f>IF(C21="","",VLOOKUP('OPĆI DIO'!$C$3,'OPĆI DIO'!$L$6:$U$138,10,FALSE))</f>
        <v>08006</v>
      </c>
      <c r="B21" s="64" t="str">
        <f>IF(C21="","",VLOOKUP('OPĆI DIO'!$C$3,'OPĆI DIO'!$L$6:$U$138,9,FALSE))</f>
        <v>Sveučilišta i veleučilišta u Republici Hrvatskoj</v>
      </c>
      <c r="C21" s="69">
        <v>31</v>
      </c>
      <c r="D21" s="64" t="str">
        <f t="shared" si="0"/>
        <v>Vlastiti prihodi</v>
      </c>
      <c r="E21" s="69">
        <v>3111</v>
      </c>
      <c r="F21" s="64" t="str">
        <f t="shared" si="10"/>
        <v>Plaće za redovan rad</v>
      </c>
      <c r="G21" s="102" t="s">
        <v>703</v>
      </c>
      <c r="H21" s="64" t="str">
        <f t="shared" si="2"/>
        <v>REDOVNA DJELATNOST SVEUČILIŠTA U ZAGREBU (IZ EVIDENCIJSKIH PRIHODA)</v>
      </c>
      <c r="I21" s="64" t="str">
        <f t="shared" si="3"/>
        <v>0942</v>
      </c>
      <c r="J21" s="101">
        <v>7796</v>
      </c>
      <c r="K21" s="101">
        <v>43373</v>
      </c>
      <c r="L21" s="101">
        <v>10815</v>
      </c>
      <c r="M21" s="68"/>
      <c r="O21" t="str">
        <f t="shared" si="4"/>
        <v>311</v>
      </c>
      <c r="P21" t="str">
        <f t="shared" si="5"/>
        <v>31</v>
      </c>
      <c r="Q21" t="str">
        <f t="shared" si="6"/>
        <v>31</v>
      </c>
      <c r="R21" t="str">
        <f t="shared" si="7"/>
        <v>94</v>
      </c>
      <c r="S21" s="120">
        <v>581</v>
      </c>
      <c r="T21" s="121" t="s">
        <v>525</v>
      </c>
      <c r="V21">
        <v>3227</v>
      </c>
      <c r="W21" t="s">
        <v>704</v>
      </c>
      <c r="Y21" s="221" t="str">
        <f t="shared" si="8"/>
        <v>32</v>
      </c>
      <c r="Z21" t="str">
        <f t="shared" si="9"/>
        <v>322</v>
      </c>
      <c r="AB21" t="s">
        <v>705</v>
      </c>
      <c r="AC21" t="s">
        <v>706</v>
      </c>
      <c r="AD21" t="s">
        <v>642</v>
      </c>
      <c r="AE21" t="s">
        <v>643</v>
      </c>
      <c r="AF21" t="s">
        <v>644</v>
      </c>
      <c r="AG21" t="s">
        <v>645</v>
      </c>
    </row>
    <row r="22" spans="1:33">
      <c r="A22" s="64" t="str">
        <f>IF(C22="","",VLOOKUP('OPĆI DIO'!$C$3,'OPĆI DIO'!$L$6:$U$138,10,FALSE))</f>
        <v>08006</v>
      </c>
      <c r="B22" s="64" t="str">
        <f>IF(C22="","",VLOOKUP('OPĆI DIO'!$C$3,'OPĆI DIO'!$L$6:$U$138,9,FALSE))</f>
        <v>Sveučilišta i veleučilišta u Republici Hrvatskoj</v>
      </c>
      <c r="C22" s="69">
        <v>31</v>
      </c>
      <c r="D22" s="64" t="str">
        <f t="shared" si="0"/>
        <v>Vlastiti prihodi</v>
      </c>
      <c r="E22" s="69">
        <v>3132</v>
      </c>
      <c r="F22" s="64" t="str">
        <f t="shared" si="10"/>
        <v>Doprinosi za obvezno zdravstveno osiguranje</v>
      </c>
      <c r="G22" s="102" t="s">
        <v>703</v>
      </c>
      <c r="H22" s="64" t="str">
        <f t="shared" si="2"/>
        <v>REDOVNA DJELATNOST SVEUČILIŠTA U ZAGREBU (IZ EVIDENCIJSKIH PRIHODA)</v>
      </c>
      <c r="I22" s="64" t="str">
        <f t="shared" si="3"/>
        <v>0942</v>
      </c>
      <c r="J22" s="101">
        <v>1138</v>
      </c>
      <c r="K22" s="101">
        <v>7302</v>
      </c>
      <c r="L22" s="101">
        <v>1784</v>
      </c>
      <c r="M22" s="68"/>
      <c r="O22" t="str">
        <f t="shared" si="4"/>
        <v>313</v>
      </c>
      <c r="P22" t="str">
        <f t="shared" si="5"/>
        <v>31</v>
      </c>
      <c r="Q22" t="str">
        <f t="shared" si="6"/>
        <v>31</v>
      </c>
      <c r="R22" t="str">
        <f t="shared" si="7"/>
        <v>94</v>
      </c>
      <c r="S22">
        <v>61</v>
      </c>
      <c r="T22" t="s">
        <v>527</v>
      </c>
      <c r="V22">
        <v>3231</v>
      </c>
      <c r="W22" t="s">
        <v>707</v>
      </c>
      <c r="Y22" s="221" t="str">
        <f t="shared" si="8"/>
        <v>32</v>
      </c>
      <c r="Z22" t="str">
        <f t="shared" si="9"/>
        <v>323</v>
      </c>
      <c r="AB22" t="s">
        <v>708</v>
      </c>
      <c r="AC22" t="s">
        <v>709</v>
      </c>
      <c r="AD22" t="s">
        <v>657</v>
      </c>
      <c r="AE22" t="s">
        <v>658</v>
      </c>
      <c r="AF22" t="s">
        <v>644</v>
      </c>
      <c r="AG22" t="s">
        <v>659</v>
      </c>
    </row>
    <row r="23" spans="1:33">
      <c r="A23" s="64" t="str">
        <f>IF(C23="","",VLOOKUP('OPĆI DIO'!$C$3,'OPĆI DIO'!$L$6:$U$138,10,FALSE))</f>
        <v>08006</v>
      </c>
      <c r="B23" s="64" t="str">
        <f>IF(C23="","",VLOOKUP('OPĆI DIO'!$C$3,'OPĆI DIO'!$L$6:$U$138,9,FALSE))</f>
        <v>Sveučilišta i veleučilišta u Republici Hrvatskoj</v>
      </c>
      <c r="C23" s="69">
        <v>31</v>
      </c>
      <c r="D23" s="64" t="str">
        <f t="shared" si="0"/>
        <v>Vlastiti prihodi</v>
      </c>
      <c r="E23" s="69">
        <v>3211</v>
      </c>
      <c r="F23" s="64" t="str">
        <f t="shared" si="10"/>
        <v>Službena putovanja</v>
      </c>
      <c r="G23" s="102" t="s">
        <v>703</v>
      </c>
      <c r="H23" s="64" t="str">
        <f t="shared" si="2"/>
        <v>REDOVNA DJELATNOST SVEUČILIŠTA U ZAGREBU (IZ EVIDENCIJSKIH PRIHODA)</v>
      </c>
      <c r="I23" s="64" t="str">
        <f t="shared" si="3"/>
        <v>0942</v>
      </c>
      <c r="J23" s="101">
        <f>53+641+25</f>
        <v>719</v>
      </c>
      <c r="K23" s="101">
        <v>8568</v>
      </c>
      <c r="L23" s="101">
        <f>332+420+993+330+376+399</f>
        <v>2850</v>
      </c>
      <c r="M23" s="68"/>
      <c r="O23" t="str">
        <f t="shared" si="4"/>
        <v>321</v>
      </c>
      <c r="P23" t="str">
        <f t="shared" si="5"/>
        <v>32</v>
      </c>
      <c r="Q23" t="str">
        <f t="shared" si="6"/>
        <v>31</v>
      </c>
      <c r="R23" t="str">
        <f t="shared" si="7"/>
        <v>94</v>
      </c>
      <c r="S23">
        <v>71</v>
      </c>
      <c r="T23" t="s">
        <v>531</v>
      </c>
      <c r="V23">
        <v>3232</v>
      </c>
      <c r="W23" t="s">
        <v>710</v>
      </c>
      <c r="Y23" s="221" t="str">
        <f t="shared" si="8"/>
        <v>32</v>
      </c>
      <c r="Z23" t="str">
        <f t="shared" si="9"/>
        <v>323</v>
      </c>
      <c r="AB23" t="s">
        <v>711</v>
      </c>
      <c r="AC23" t="s">
        <v>712</v>
      </c>
      <c r="AD23" t="s">
        <v>664</v>
      </c>
      <c r="AE23" t="s">
        <v>665</v>
      </c>
      <c r="AF23" t="s">
        <v>644</v>
      </c>
      <c r="AG23" t="s">
        <v>666</v>
      </c>
    </row>
    <row r="24" spans="1:33">
      <c r="A24" s="64" t="str">
        <f>IF(C24="","",VLOOKUP('OPĆI DIO'!$C$3,'OPĆI DIO'!$L$6:$U$138,10,FALSE))</f>
        <v>08006</v>
      </c>
      <c r="B24" s="64" t="str">
        <f>IF(C24="","",VLOOKUP('OPĆI DIO'!$C$3,'OPĆI DIO'!$L$6:$U$138,9,FALSE))</f>
        <v>Sveučilišta i veleučilišta u Republici Hrvatskoj</v>
      </c>
      <c r="C24" s="69">
        <v>31</v>
      </c>
      <c r="D24" s="64" t="str">
        <f t="shared" si="0"/>
        <v>Vlastiti prihodi</v>
      </c>
      <c r="E24" s="69">
        <v>3212</v>
      </c>
      <c r="F24" s="64" t="str">
        <f t="shared" si="10"/>
        <v>Naknade za prijevoz, za rad na terenu i odvojeni život</v>
      </c>
      <c r="G24" s="102" t="s">
        <v>703</v>
      </c>
      <c r="H24" s="64" t="str">
        <f t="shared" si="2"/>
        <v>REDOVNA DJELATNOST SVEUČILIŠTA U ZAGREBU (IZ EVIDENCIJSKIH PRIHODA)</v>
      </c>
      <c r="I24" s="64" t="str">
        <f t="shared" si="3"/>
        <v>0942</v>
      </c>
      <c r="J24" s="101">
        <v>59</v>
      </c>
      <c r="K24" s="101"/>
      <c r="L24" s="101">
        <v>190</v>
      </c>
      <c r="M24" s="68"/>
      <c r="O24" t="str">
        <f t="shared" si="4"/>
        <v>321</v>
      </c>
      <c r="P24" t="str">
        <f t="shared" si="5"/>
        <v>32</v>
      </c>
      <c r="Q24" t="str">
        <f t="shared" si="6"/>
        <v>31</v>
      </c>
      <c r="R24" t="str">
        <f t="shared" si="7"/>
        <v>94</v>
      </c>
      <c r="S24">
        <v>81</v>
      </c>
      <c r="T24" t="s">
        <v>534</v>
      </c>
      <c r="V24">
        <v>3233</v>
      </c>
      <c r="W24" t="s">
        <v>713</v>
      </c>
      <c r="Y24" s="221" t="str">
        <f t="shared" si="8"/>
        <v>32</v>
      </c>
      <c r="Z24" t="str">
        <f t="shared" si="9"/>
        <v>323</v>
      </c>
      <c r="AB24" t="s">
        <v>714</v>
      </c>
      <c r="AC24" t="s">
        <v>715</v>
      </c>
      <c r="AD24" t="s">
        <v>716</v>
      </c>
      <c r="AE24" t="s">
        <v>717</v>
      </c>
      <c r="AF24" t="s">
        <v>644</v>
      </c>
      <c r="AG24" t="s">
        <v>645</v>
      </c>
    </row>
    <row r="25" spans="1:33">
      <c r="A25" s="64" t="str">
        <f>IF(C25="","",VLOOKUP('OPĆI DIO'!$C$3,'OPĆI DIO'!$L$6:$U$138,10,FALSE))</f>
        <v>08006</v>
      </c>
      <c r="B25" s="64" t="str">
        <f>IF(C25="","",VLOOKUP('OPĆI DIO'!$C$3,'OPĆI DIO'!$L$6:$U$138,9,FALSE))</f>
        <v>Sveučilišta i veleučilišta u Republici Hrvatskoj</v>
      </c>
      <c r="C25" s="69">
        <v>31</v>
      </c>
      <c r="D25" s="64" t="str">
        <f t="shared" si="0"/>
        <v>Vlastiti prihodi</v>
      </c>
      <c r="E25" s="69">
        <v>3213</v>
      </c>
      <c r="F25" s="64" t="str">
        <f t="shared" si="10"/>
        <v>Stručno usavršavanje zaposlenika</v>
      </c>
      <c r="G25" s="102" t="s">
        <v>703</v>
      </c>
      <c r="H25" s="64" t="str">
        <f t="shared" si="2"/>
        <v>REDOVNA DJELATNOST SVEUČILIŠTA U ZAGREBU (IZ EVIDENCIJSKIH PRIHODA)</v>
      </c>
      <c r="I25" s="64" t="str">
        <f t="shared" si="3"/>
        <v>0942</v>
      </c>
      <c r="J25" s="101">
        <v>282</v>
      </c>
      <c r="K25" s="101"/>
      <c r="L25" s="101"/>
      <c r="M25" s="68"/>
      <c r="O25" t="str">
        <f t="shared" si="4"/>
        <v>321</v>
      </c>
      <c r="P25" t="str">
        <f t="shared" si="5"/>
        <v>32</v>
      </c>
      <c r="Q25" t="str">
        <f t="shared" si="6"/>
        <v>31</v>
      </c>
      <c r="R25" t="str">
        <f t="shared" si="7"/>
        <v>94</v>
      </c>
      <c r="V25">
        <v>3234</v>
      </c>
      <c r="W25" t="s">
        <v>718</v>
      </c>
      <c r="Y25" s="221" t="str">
        <f t="shared" si="8"/>
        <v>32</v>
      </c>
      <c r="Z25" t="str">
        <f t="shared" si="9"/>
        <v>323</v>
      </c>
      <c r="AB25" t="s">
        <v>719</v>
      </c>
      <c r="AC25" t="s">
        <v>720</v>
      </c>
      <c r="AD25" t="s">
        <v>716</v>
      </c>
      <c r="AE25" t="s">
        <v>717</v>
      </c>
      <c r="AF25" t="s">
        <v>644</v>
      </c>
      <c r="AG25" t="s">
        <v>645</v>
      </c>
    </row>
    <row r="26" spans="1:33">
      <c r="A26" s="64" t="str">
        <f>IF(C26="","",VLOOKUP('OPĆI DIO'!$C$3,'OPĆI DIO'!$L$6:$U$138,10,FALSE))</f>
        <v>08006</v>
      </c>
      <c r="B26" s="64" t="str">
        <f>IF(C26="","",VLOOKUP('OPĆI DIO'!$C$3,'OPĆI DIO'!$L$6:$U$138,9,FALSE))</f>
        <v>Sveučilišta i veleučilišta u Republici Hrvatskoj</v>
      </c>
      <c r="C26" s="69">
        <v>31</v>
      </c>
      <c r="D26" s="64" t="str">
        <f t="shared" si="0"/>
        <v>Vlastiti prihodi</v>
      </c>
      <c r="E26" s="69">
        <v>3221</v>
      </c>
      <c r="F26" s="64" t="str">
        <f t="shared" si="10"/>
        <v>Uredski materijal i ostali materijalni rashodi</v>
      </c>
      <c r="G26" s="102" t="s">
        <v>703</v>
      </c>
      <c r="H26" s="64" t="str">
        <f t="shared" si="2"/>
        <v>REDOVNA DJELATNOST SVEUČILIŠTA U ZAGREBU (IZ EVIDENCIJSKIH PRIHODA)</v>
      </c>
      <c r="I26" s="64" t="str">
        <f t="shared" si="3"/>
        <v>0942</v>
      </c>
      <c r="J26" s="101">
        <f>109+6+15</f>
        <v>130</v>
      </c>
      <c r="K26" s="101">
        <v>4313</v>
      </c>
      <c r="L26" s="101">
        <f>199+172+166</f>
        <v>537</v>
      </c>
      <c r="M26" s="68"/>
      <c r="O26" t="str">
        <f t="shared" si="4"/>
        <v>322</v>
      </c>
      <c r="P26" t="str">
        <f t="shared" si="5"/>
        <v>32</v>
      </c>
      <c r="Q26" t="str">
        <f t="shared" si="6"/>
        <v>31</v>
      </c>
      <c r="R26" t="str">
        <f t="shared" si="7"/>
        <v>94</v>
      </c>
      <c r="V26">
        <v>3235</v>
      </c>
      <c r="W26" t="s">
        <v>721</v>
      </c>
      <c r="Y26" s="221" t="str">
        <f t="shared" si="8"/>
        <v>32</v>
      </c>
      <c r="Z26" t="str">
        <f t="shared" si="9"/>
        <v>323</v>
      </c>
      <c r="AB26" t="s">
        <v>722</v>
      </c>
      <c r="AC26" t="s">
        <v>723</v>
      </c>
      <c r="AD26" t="s">
        <v>716</v>
      </c>
      <c r="AE26" t="s">
        <v>717</v>
      </c>
      <c r="AF26" t="s">
        <v>644</v>
      </c>
      <c r="AG26" t="s">
        <v>645</v>
      </c>
    </row>
    <row r="27" spans="1:33">
      <c r="A27" s="64" t="str">
        <f>IF(C27="","",VLOOKUP('OPĆI DIO'!$C$3,'OPĆI DIO'!$L$6:$U$138,10,FALSE))</f>
        <v>08006</v>
      </c>
      <c r="B27" s="64" t="str">
        <f>IF(C27="","",VLOOKUP('OPĆI DIO'!$C$3,'OPĆI DIO'!$L$6:$U$138,9,FALSE))</f>
        <v>Sveučilišta i veleučilišta u Republici Hrvatskoj</v>
      </c>
      <c r="C27" s="69">
        <v>31</v>
      </c>
      <c r="D27" s="64" t="str">
        <f t="shared" si="0"/>
        <v>Vlastiti prihodi</v>
      </c>
      <c r="E27" s="69">
        <v>3222</v>
      </c>
      <c r="F27" s="64" t="str">
        <f t="shared" si="10"/>
        <v>Materijal i sirovine</v>
      </c>
      <c r="G27" s="102" t="s">
        <v>703</v>
      </c>
      <c r="H27" s="64" t="str">
        <f t="shared" si="2"/>
        <v>REDOVNA DJELATNOST SVEUČILIŠTA U ZAGREBU (IZ EVIDENCIJSKIH PRIHODA)</v>
      </c>
      <c r="I27" s="64" t="str">
        <f t="shared" si="3"/>
        <v>0942</v>
      </c>
      <c r="J27" s="101">
        <f>552+790</f>
        <v>1342</v>
      </c>
      <c r="K27" s="101"/>
      <c r="L27" s="101">
        <f>358+904+68</f>
        <v>1330</v>
      </c>
      <c r="M27" s="68"/>
      <c r="O27" t="str">
        <f t="shared" si="4"/>
        <v>322</v>
      </c>
      <c r="P27" t="str">
        <f t="shared" si="5"/>
        <v>32</v>
      </c>
      <c r="Q27" t="str">
        <f t="shared" si="6"/>
        <v>31</v>
      </c>
      <c r="R27" t="str">
        <f t="shared" si="7"/>
        <v>94</v>
      </c>
      <c r="V27">
        <v>3236</v>
      </c>
      <c r="W27" t="s">
        <v>724</v>
      </c>
      <c r="Y27" s="221" t="str">
        <f t="shared" si="8"/>
        <v>32</v>
      </c>
      <c r="Z27" t="str">
        <f t="shared" si="9"/>
        <v>323</v>
      </c>
      <c r="AB27" t="s">
        <v>725</v>
      </c>
      <c r="AC27" t="s">
        <v>726</v>
      </c>
      <c r="AD27" t="s">
        <v>716</v>
      </c>
      <c r="AE27" t="s">
        <v>717</v>
      </c>
      <c r="AF27" t="s">
        <v>644</v>
      </c>
      <c r="AG27" t="s">
        <v>645</v>
      </c>
    </row>
    <row r="28" spans="1:33">
      <c r="A28" s="64" t="str">
        <f>IF(C28="","",VLOOKUP('OPĆI DIO'!$C$3,'OPĆI DIO'!$L$6:$U$138,10,FALSE))</f>
        <v>08006</v>
      </c>
      <c r="B28" s="64" t="str">
        <f>IF(C28="","",VLOOKUP('OPĆI DIO'!$C$3,'OPĆI DIO'!$L$6:$U$138,9,FALSE))</f>
        <v>Sveučilišta i veleučilišta u Republici Hrvatskoj</v>
      </c>
      <c r="C28" s="69">
        <v>31</v>
      </c>
      <c r="D28" s="64" t="str">
        <f t="shared" si="0"/>
        <v>Vlastiti prihodi</v>
      </c>
      <c r="E28" s="69">
        <v>3224</v>
      </c>
      <c r="F28" s="64" t="str">
        <f t="shared" si="10"/>
        <v>Materijal i dijelovi za tekuće i investicijsko održavanje</v>
      </c>
      <c r="G28" s="102" t="s">
        <v>703</v>
      </c>
      <c r="H28" s="64" t="str">
        <f t="shared" si="2"/>
        <v>REDOVNA DJELATNOST SVEUČILIŠTA U ZAGREBU (IZ EVIDENCIJSKIH PRIHODA)</v>
      </c>
      <c r="I28" s="64" t="str">
        <f t="shared" si="3"/>
        <v>0942</v>
      </c>
      <c r="J28" s="101">
        <v>138</v>
      </c>
      <c r="K28" s="101">
        <v>2654</v>
      </c>
      <c r="L28" s="101"/>
      <c r="M28" s="68"/>
      <c r="O28" t="str">
        <f t="shared" si="4"/>
        <v>322</v>
      </c>
      <c r="P28" t="str">
        <f t="shared" si="5"/>
        <v>32</v>
      </c>
      <c r="Q28" t="str">
        <f t="shared" si="6"/>
        <v>31</v>
      </c>
      <c r="R28" t="str">
        <f t="shared" si="7"/>
        <v>94</v>
      </c>
      <c r="V28">
        <v>3237</v>
      </c>
      <c r="W28" t="s">
        <v>727</v>
      </c>
      <c r="Y28" s="221" t="str">
        <f t="shared" si="8"/>
        <v>32</v>
      </c>
      <c r="Z28" t="str">
        <f t="shared" si="9"/>
        <v>323</v>
      </c>
      <c r="AB28" t="s">
        <v>728</v>
      </c>
      <c r="AC28" t="s">
        <v>729</v>
      </c>
      <c r="AD28" t="s">
        <v>657</v>
      </c>
      <c r="AE28" t="s">
        <v>658</v>
      </c>
      <c r="AF28" t="s">
        <v>644</v>
      </c>
      <c r="AG28" t="s">
        <v>659</v>
      </c>
    </row>
    <row r="29" spans="1:33">
      <c r="A29" s="64" t="str">
        <f>IF(C29="","",VLOOKUP('OPĆI DIO'!$C$3,'OPĆI DIO'!$L$6:$U$138,10,FALSE))</f>
        <v>08006</v>
      </c>
      <c r="B29" s="64" t="str">
        <f>IF(C29="","",VLOOKUP('OPĆI DIO'!$C$3,'OPĆI DIO'!$L$6:$U$138,9,FALSE))</f>
        <v>Sveučilišta i veleučilišta u Republici Hrvatskoj</v>
      </c>
      <c r="C29" s="69">
        <v>31</v>
      </c>
      <c r="D29" s="64" t="str">
        <f t="shared" si="0"/>
        <v>Vlastiti prihodi</v>
      </c>
      <c r="E29" s="69">
        <v>3225</v>
      </c>
      <c r="F29" s="64" t="str">
        <f t="shared" si="10"/>
        <v>Sitni inventar i auto gume</v>
      </c>
      <c r="G29" s="102" t="s">
        <v>703</v>
      </c>
      <c r="H29" s="64" t="str">
        <f t="shared" si="2"/>
        <v>REDOVNA DJELATNOST SVEUČILIŠTA U ZAGREBU (IZ EVIDENCIJSKIH PRIHODA)</v>
      </c>
      <c r="I29" s="64" t="str">
        <f t="shared" si="3"/>
        <v>0942</v>
      </c>
      <c r="J29" s="101">
        <v>631</v>
      </c>
      <c r="K29" s="101"/>
      <c r="L29" s="101">
        <v>197</v>
      </c>
      <c r="M29" s="68"/>
      <c r="O29" t="str">
        <f t="shared" si="4"/>
        <v>322</v>
      </c>
      <c r="P29" t="str">
        <f t="shared" si="5"/>
        <v>32</v>
      </c>
      <c r="Q29" t="str">
        <f t="shared" si="6"/>
        <v>31</v>
      </c>
      <c r="R29" t="str">
        <f t="shared" si="7"/>
        <v>94</v>
      </c>
      <c r="V29">
        <v>3238</v>
      </c>
      <c r="W29" t="s">
        <v>730</v>
      </c>
      <c r="Y29" s="221" t="str">
        <f t="shared" si="8"/>
        <v>32</v>
      </c>
      <c r="Z29" t="str">
        <f t="shared" si="9"/>
        <v>323</v>
      </c>
      <c r="AB29" t="s">
        <v>731</v>
      </c>
      <c r="AC29" t="s">
        <v>732</v>
      </c>
      <c r="AD29" t="s">
        <v>664</v>
      </c>
      <c r="AE29" t="s">
        <v>665</v>
      </c>
      <c r="AF29" t="s">
        <v>644</v>
      </c>
      <c r="AG29" t="s">
        <v>666</v>
      </c>
    </row>
    <row r="30" spans="1:33">
      <c r="A30" s="64" t="str">
        <f>IF(C30="","",VLOOKUP('OPĆI DIO'!$C$3,'OPĆI DIO'!$L$6:$U$138,10,FALSE))</f>
        <v>08006</v>
      </c>
      <c r="B30" s="64" t="str">
        <f>IF(C30="","",VLOOKUP('OPĆI DIO'!$C$3,'OPĆI DIO'!$L$6:$U$138,9,FALSE))</f>
        <v>Sveučilišta i veleučilišta u Republici Hrvatskoj</v>
      </c>
      <c r="C30" s="69">
        <v>31</v>
      </c>
      <c r="D30" s="64" t="str">
        <f t="shared" si="0"/>
        <v>Vlastiti prihodi</v>
      </c>
      <c r="E30" s="69">
        <v>3227</v>
      </c>
      <c r="F30" s="64" t="str">
        <f t="shared" si="10"/>
        <v>Službena, radna i zaštitna odjeća i obuća</v>
      </c>
      <c r="G30" s="102" t="s">
        <v>703</v>
      </c>
      <c r="H30" s="64" t="str">
        <f t="shared" si="2"/>
        <v>REDOVNA DJELATNOST SVEUČILIŠTA U ZAGREBU (IZ EVIDENCIJSKIH PRIHODA)</v>
      </c>
      <c r="I30" s="64" t="str">
        <f t="shared" si="3"/>
        <v>0942</v>
      </c>
      <c r="J30" s="101">
        <v>562</v>
      </c>
      <c r="K30" s="101"/>
      <c r="L30" s="101"/>
      <c r="M30" s="68"/>
      <c r="O30" t="str">
        <f t="shared" si="4"/>
        <v>322</v>
      </c>
      <c r="P30" t="str">
        <f t="shared" si="5"/>
        <v>32</v>
      </c>
      <c r="Q30" t="str">
        <f t="shared" si="6"/>
        <v>31</v>
      </c>
      <c r="R30" t="str">
        <f t="shared" si="7"/>
        <v>94</v>
      </c>
      <c r="V30">
        <v>3239</v>
      </c>
      <c r="W30" t="s">
        <v>733</v>
      </c>
      <c r="Y30" s="221" t="str">
        <f t="shared" si="8"/>
        <v>32</v>
      </c>
      <c r="Z30" t="str">
        <f t="shared" si="9"/>
        <v>323</v>
      </c>
      <c r="AB30" t="s">
        <v>734</v>
      </c>
      <c r="AC30" t="s">
        <v>735</v>
      </c>
      <c r="AD30" t="s">
        <v>657</v>
      </c>
      <c r="AE30" t="s">
        <v>658</v>
      </c>
      <c r="AF30" t="s">
        <v>644</v>
      </c>
      <c r="AG30" t="s">
        <v>659</v>
      </c>
    </row>
    <row r="31" spans="1:33">
      <c r="A31" s="64" t="str">
        <f>IF(C31="","",VLOOKUP('OPĆI DIO'!$C$3,'OPĆI DIO'!$L$6:$U$138,10,FALSE))</f>
        <v>08006</v>
      </c>
      <c r="B31" s="64" t="str">
        <f>IF(C31="","",VLOOKUP('OPĆI DIO'!$C$3,'OPĆI DIO'!$L$6:$U$138,9,FALSE))</f>
        <v>Sveučilišta i veleučilišta u Republici Hrvatskoj</v>
      </c>
      <c r="C31" s="69">
        <v>31</v>
      </c>
      <c r="D31" s="64" t="str">
        <f t="shared" si="0"/>
        <v>Vlastiti prihodi</v>
      </c>
      <c r="E31" s="69">
        <v>3231</v>
      </c>
      <c r="F31" s="64" t="str">
        <f t="shared" si="10"/>
        <v>Usluge telefona, pošte i prijevoza</v>
      </c>
      <c r="G31" s="102" t="s">
        <v>703</v>
      </c>
      <c r="H31" s="64" t="str">
        <f t="shared" si="2"/>
        <v>REDOVNA DJELATNOST SVEUČILIŠTA U ZAGREBU (IZ EVIDENCIJSKIH PRIHODA)</v>
      </c>
      <c r="I31" s="64" t="str">
        <f t="shared" si="3"/>
        <v>0942</v>
      </c>
      <c r="J31" s="101">
        <v>14</v>
      </c>
      <c r="K31" s="101"/>
      <c r="L31" s="101"/>
      <c r="M31" s="68"/>
      <c r="O31" t="str">
        <f t="shared" si="4"/>
        <v>323</v>
      </c>
      <c r="P31" t="str">
        <f t="shared" si="5"/>
        <v>32</v>
      </c>
      <c r="Q31" t="str">
        <f t="shared" si="6"/>
        <v>31</v>
      </c>
      <c r="R31" t="str">
        <f t="shared" si="7"/>
        <v>94</v>
      </c>
      <c r="V31">
        <v>3241</v>
      </c>
      <c r="W31" t="s">
        <v>736</v>
      </c>
      <c r="Y31" s="221" t="str">
        <f t="shared" si="8"/>
        <v>32</v>
      </c>
      <c r="Z31" t="str">
        <f t="shared" si="9"/>
        <v>324</v>
      </c>
      <c r="AB31" t="s">
        <v>737</v>
      </c>
      <c r="AC31" t="s">
        <v>738</v>
      </c>
      <c r="AD31" t="s">
        <v>649</v>
      </c>
      <c r="AE31" t="s">
        <v>650</v>
      </c>
      <c r="AF31" t="s">
        <v>651</v>
      </c>
      <c r="AG31" t="s">
        <v>652</v>
      </c>
    </row>
    <row r="32" spans="1:33">
      <c r="A32" s="64" t="str">
        <f>IF(C32="","",VLOOKUP('OPĆI DIO'!$C$3,'OPĆI DIO'!$L$6:$U$138,10,FALSE))</f>
        <v>08006</v>
      </c>
      <c r="B32" s="64" t="str">
        <f>IF(C32="","",VLOOKUP('OPĆI DIO'!$C$3,'OPĆI DIO'!$L$6:$U$138,9,FALSE))</f>
        <v>Sveučilišta i veleučilišta u Republici Hrvatskoj</v>
      </c>
      <c r="C32" s="69">
        <v>31</v>
      </c>
      <c r="D32" s="64" t="str">
        <f t="shared" si="0"/>
        <v>Vlastiti prihodi</v>
      </c>
      <c r="E32" s="69">
        <v>3233</v>
      </c>
      <c r="F32" s="64" t="str">
        <f t="shared" si="10"/>
        <v>Usluge promidžbe i informiranja</v>
      </c>
      <c r="G32" s="102" t="s">
        <v>703</v>
      </c>
      <c r="H32" s="64" t="str">
        <f t="shared" si="2"/>
        <v>REDOVNA DJELATNOST SVEUČILIŠTA U ZAGREBU (IZ EVIDENCIJSKIH PRIHODA)</v>
      </c>
      <c r="I32" s="64" t="str">
        <f t="shared" si="3"/>
        <v>0942</v>
      </c>
      <c r="J32" s="101">
        <v>581</v>
      </c>
      <c r="K32" s="101">
        <v>3850</v>
      </c>
      <c r="L32" s="101">
        <f>352+1161</f>
        <v>1513</v>
      </c>
      <c r="M32" s="68"/>
      <c r="O32" t="str">
        <f t="shared" si="4"/>
        <v>323</v>
      </c>
      <c r="P32" t="str">
        <f t="shared" si="5"/>
        <v>32</v>
      </c>
      <c r="Q32" t="str">
        <f t="shared" si="6"/>
        <v>31</v>
      </c>
      <c r="R32" t="str">
        <f t="shared" si="7"/>
        <v>94</v>
      </c>
      <c r="V32">
        <v>3291</v>
      </c>
      <c r="W32" t="s">
        <v>739</v>
      </c>
      <c r="Y32" s="221" t="str">
        <f t="shared" si="8"/>
        <v>32</v>
      </c>
      <c r="Z32" t="str">
        <f t="shared" si="9"/>
        <v>329</v>
      </c>
      <c r="AB32" t="s">
        <v>740</v>
      </c>
      <c r="AC32" t="s">
        <v>741</v>
      </c>
      <c r="AD32" t="s">
        <v>649</v>
      </c>
      <c r="AE32" t="s">
        <v>650</v>
      </c>
      <c r="AF32" t="s">
        <v>651</v>
      </c>
      <c r="AG32" t="s">
        <v>652</v>
      </c>
    </row>
    <row r="33" spans="1:33">
      <c r="A33" s="64" t="str">
        <f>IF(C33="","",VLOOKUP('OPĆI DIO'!$C$3,'OPĆI DIO'!$L$6:$U$138,10,FALSE))</f>
        <v>08006</v>
      </c>
      <c r="B33" s="64" t="str">
        <f>IF(C33="","",VLOOKUP('OPĆI DIO'!$C$3,'OPĆI DIO'!$L$6:$U$138,9,FALSE))</f>
        <v>Sveučilišta i veleučilišta u Republici Hrvatskoj</v>
      </c>
      <c r="C33" s="69">
        <v>31</v>
      </c>
      <c r="D33" s="64" t="str">
        <f t="shared" si="0"/>
        <v>Vlastiti prihodi</v>
      </c>
      <c r="E33" s="69">
        <v>3237</v>
      </c>
      <c r="F33" s="64" t="str">
        <f t="shared" si="10"/>
        <v>Intelektualne i osobne usluge</v>
      </c>
      <c r="G33" s="102" t="s">
        <v>703</v>
      </c>
      <c r="H33" s="64" t="str">
        <f t="shared" si="2"/>
        <v>REDOVNA DJELATNOST SVEUČILIŠTA U ZAGREBU (IZ EVIDENCIJSKIH PRIHODA)</v>
      </c>
      <c r="I33" s="64" t="str">
        <f t="shared" si="3"/>
        <v>0942</v>
      </c>
      <c r="J33" s="101">
        <f>3466+9706+2965+1669+1252+1458+743</f>
        <v>21259</v>
      </c>
      <c r="K33" s="101">
        <v>31243</v>
      </c>
      <c r="L33" s="101">
        <f>4692+1387+675+507+1903</f>
        <v>9164</v>
      </c>
      <c r="M33" s="68"/>
      <c r="O33" t="str">
        <f t="shared" si="4"/>
        <v>323</v>
      </c>
      <c r="P33" t="str">
        <f t="shared" si="5"/>
        <v>32</v>
      </c>
      <c r="Q33" t="str">
        <f t="shared" si="6"/>
        <v>31</v>
      </c>
      <c r="R33" t="str">
        <f t="shared" si="7"/>
        <v>94</v>
      </c>
      <c r="V33">
        <v>3292</v>
      </c>
      <c r="W33" t="s">
        <v>742</v>
      </c>
      <c r="Y33" s="221" t="str">
        <f t="shared" si="8"/>
        <v>32</v>
      </c>
      <c r="Z33" t="str">
        <f t="shared" si="9"/>
        <v>329</v>
      </c>
      <c r="AB33" t="s">
        <v>743</v>
      </c>
      <c r="AC33" t="s">
        <v>744</v>
      </c>
      <c r="AD33" t="s">
        <v>657</v>
      </c>
      <c r="AE33" t="s">
        <v>658</v>
      </c>
      <c r="AF33" t="s">
        <v>644</v>
      </c>
      <c r="AG33" t="s">
        <v>659</v>
      </c>
    </row>
    <row r="34" spans="1:33">
      <c r="A34" s="64" t="str">
        <f>IF(C34="","",VLOOKUP('OPĆI DIO'!$C$3,'OPĆI DIO'!$L$6:$U$138,10,FALSE))</f>
        <v>08006</v>
      </c>
      <c r="B34" s="64" t="str">
        <f>IF(C34="","",VLOOKUP('OPĆI DIO'!$C$3,'OPĆI DIO'!$L$6:$U$138,9,FALSE))</f>
        <v>Sveučilišta i veleučilišta u Republici Hrvatskoj</v>
      </c>
      <c r="C34" s="69">
        <v>31</v>
      </c>
      <c r="D34" s="64" t="str">
        <f t="shared" si="0"/>
        <v>Vlastiti prihodi</v>
      </c>
      <c r="E34" s="69">
        <v>3239</v>
      </c>
      <c r="F34" s="64" t="str">
        <f t="shared" si="10"/>
        <v>Ostale usluge</v>
      </c>
      <c r="G34" s="102" t="s">
        <v>703</v>
      </c>
      <c r="H34" s="64" t="str">
        <f t="shared" si="2"/>
        <v>REDOVNA DJELATNOST SVEUČILIŠTA U ZAGREBU (IZ EVIDENCIJSKIH PRIHODA)</v>
      </c>
      <c r="I34" s="64" t="str">
        <f t="shared" si="3"/>
        <v>0942</v>
      </c>
      <c r="J34" s="101">
        <f>323+140+889</f>
        <v>1352</v>
      </c>
      <c r="K34" s="101">
        <v>7401</v>
      </c>
      <c r="L34" s="101">
        <f>1722+431+6625+175-801</f>
        <v>8152</v>
      </c>
      <c r="M34" s="68"/>
      <c r="O34" t="str">
        <f t="shared" si="4"/>
        <v>323</v>
      </c>
      <c r="P34" t="str">
        <f t="shared" si="5"/>
        <v>32</v>
      </c>
      <c r="Q34" t="str">
        <f t="shared" si="6"/>
        <v>31</v>
      </c>
      <c r="R34" t="str">
        <f t="shared" si="7"/>
        <v>94</v>
      </c>
      <c r="V34">
        <v>3293</v>
      </c>
      <c r="W34" t="s">
        <v>745</v>
      </c>
      <c r="Y34" s="221" t="str">
        <f t="shared" si="8"/>
        <v>32</v>
      </c>
      <c r="Z34" t="str">
        <f t="shared" si="9"/>
        <v>329</v>
      </c>
      <c r="AB34" t="s">
        <v>746</v>
      </c>
      <c r="AC34" t="s">
        <v>747</v>
      </c>
      <c r="AD34" t="s">
        <v>649</v>
      </c>
      <c r="AE34" t="s">
        <v>650</v>
      </c>
      <c r="AF34" t="s">
        <v>651</v>
      </c>
      <c r="AG34" t="s">
        <v>652</v>
      </c>
    </row>
    <row r="35" spans="1:33">
      <c r="A35" s="64" t="str">
        <f>IF(C35="","",VLOOKUP('OPĆI DIO'!$C$3,'OPĆI DIO'!$L$6:$U$138,10,FALSE))</f>
        <v>08006</v>
      </c>
      <c r="B35" s="64" t="str">
        <f>IF(C35="","",VLOOKUP('OPĆI DIO'!$C$3,'OPĆI DIO'!$L$6:$U$138,9,FALSE))</f>
        <v>Sveučilišta i veleučilišta u Republici Hrvatskoj</v>
      </c>
      <c r="C35" s="69">
        <v>31</v>
      </c>
      <c r="D35" s="64" t="str">
        <f t="shared" si="0"/>
        <v>Vlastiti prihodi</v>
      </c>
      <c r="E35" s="69">
        <v>3241</v>
      </c>
      <c r="F35" s="64" t="str">
        <f t="shared" si="10"/>
        <v>Naknade troškova osobama izvan radnog odnosa</v>
      </c>
      <c r="G35" s="102" t="s">
        <v>703</v>
      </c>
      <c r="H35" s="64" t="str">
        <f t="shared" si="2"/>
        <v>REDOVNA DJELATNOST SVEUČILIŠTA U ZAGREBU (IZ EVIDENCIJSKIH PRIHODA)</v>
      </c>
      <c r="I35" s="64" t="str">
        <f t="shared" si="3"/>
        <v>0942</v>
      </c>
      <c r="J35" s="101">
        <v>308</v>
      </c>
      <c r="K35" s="101">
        <v>1546</v>
      </c>
      <c r="L35" s="101">
        <v>564</v>
      </c>
      <c r="M35" s="68"/>
      <c r="O35" t="str">
        <f t="shared" si="4"/>
        <v>324</v>
      </c>
      <c r="P35" t="str">
        <f t="shared" si="5"/>
        <v>32</v>
      </c>
      <c r="Q35" t="str">
        <f t="shared" si="6"/>
        <v>31</v>
      </c>
      <c r="R35" t="str">
        <f t="shared" si="7"/>
        <v>94</v>
      </c>
      <c r="V35">
        <v>3293</v>
      </c>
      <c r="W35" t="s">
        <v>748</v>
      </c>
      <c r="Y35" s="221" t="str">
        <f t="shared" si="8"/>
        <v>32</v>
      </c>
      <c r="Z35" t="str">
        <f t="shared" si="9"/>
        <v>329</v>
      </c>
      <c r="AB35" t="s">
        <v>749</v>
      </c>
      <c r="AC35" t="s">
        <v>750</v>
      </c>
      <c r="AD35" t="s">
        <v>657</v>
      </c>
      <c r="AE35" t="s">
        <v>658</v>
      </c>
      <c r="AF35" t="s">
        <v>644</v>
      </c>
      <c r="AG35" t="s">
        <v>659</v>
      </c>
    </row>
    <row r="36" spans="1:33">
      <c r="A36" s="64" t="str">
        <f>IF(C36="","",VLOOKUP('OPĆI DIO'!$C$3,'OPĆI DIO'!$L$6:$U$138,10,FALSE))</f>
        <v>08006</v>
      </c>
      <c r="B36" s="64" t="str">
        <f>IF(C36="","",VLOOKUP('OPĆI DIO'!$C$3,'OPĆI DIO'!$L$6:$U$138,9,FALSE))</f>
        <v>Sveučilišta i veleučilišta u Republici Hrvatskoj</v>
      </c>
      <c r="C36" s="69">
        <v>31</v>
      </c>
      <c r="D36" s="64" t="str">
        <f t="shared" si="0"/>
        <v>Vlastiti prihodi</v>
      </c>
      <c r="E36" s="69">
        <v>3293</v>
      </c>
      <c r="F36" s="64" t="str">
        <f t="shared" si="10"/>
        <v>Reprezentacija</v>
      </c>
      <c r="G36" s="102" t="s">
        <v>703</v>
      </c>
      <c r="H36" s="64" t="str">
        <f t="shared" si="2"/>
        <v>REDOVNA DJELATNOST SVEUČILIŠTA U ZAGREBU (IZ EVIDENCIJSKIH PRIHODA)</v>
      </c>
      <c r="I36" s="64" t="str">
        <f t="shared" si="3"/>
        <v>0942</v>
      </c>
      <c r="J36" s="101">
        <v>202</v>
      </c>
      <c r="K36" s="101"/>
      <c r="L36" s="101">
        <v>616</v>
      </c>
      <c r="M36" s="68"/>
      <c r="O36" t="str">
        <f t="shared" si="4"/>
        <v>329</v>
      </c>
      <c r="P36" t="str">
        <f t="shared" si="5"/>
        <v>32</v>
      </c>
      <c r="Q36" t="str">
        <f t="shared" si="6"/>
        <v>31</v>
      </c>
      <c r="R36" t="str">
        <f t="shared" si="7"/>
        <v>94</v>
      </c>
      <c r="V36">
        <v>3294</v>
      </c>
      <c r="W36" t="s">
        <v>751</v>
      </c>
      <c r="Y36" s="221" t="str">
        <f t="shared" si="8"/>
        <v>32</v>
      </c>
      <c r="Z36" t="str">
        <f t="shared" si="9"/>
        <v>329</v>
      </c>
      <c r="AB36" t="s">
        <v>752</v>
      </c>
      <c r="AC36" t="s">
        <v>753</v>
      </c>
      <c r="AD36" t="s">
        <v>657</v>
      </c>
      <c r="AE36" t="s">
        <v>658</v>
      </c>
      <c r="AF36" t="s">
        <v>644</v>
      </c>
      <c r="AG36" t="s">
        <v>659</v>
      </c>
    </row>
    <row r="37" spans="1:33">
      <c r="A37" s="64" t="str">
        <f>IF(C37="","",VLOOKUP('OPĆI DIO'!$C$3,'OPĆI DIO'!$L$6:$U$138,10,FALSE))</f>
        <v>08006</v>
      </c>
      <c r="B37" s="64" t="str">
        <f>IF(C37="","",VLOOKUP('OPĆI DIO'!$C$3,'OPĆI DIO'!$L$6:$U$138,9,FALSE))</f>
        <v>Sveučilišta i veleučilišta u Republici Hrvatskoj</v>
      </c>
      <c r="C37" s="69">
        <v>31</v>
      </c>
      <c r="D37" s="64" t="str">
        <f t="shared" si="0"/>
        <v>Vlastiti prihodi</v>
      </c>
      <c r="E37" s="69">
        <v>3295</v>
      </c>
      <c r="F37" s="64" t="str">
        <f t="shared" si="10"/>
        <v>Pristojbe i naknade</v>
      </c>
      <c r="G37" s="102" t="s">
        <v>703</v>
      </c>
      <c r="H37" s="64" t="str">
        <f t="shared" si="2"/>
        <v>REDOVNA DJELATNOST SVEUČILIŠTA U ZAGREBU (IZ EVIDENCIJSKIH PRIHODA)</v>
      </c>
      <c r="I37" s="64" t="str">
        <f t="shared" si="3"/>
        <v>0942</v>
      </c>
      <c r="J37" s="101">
        <v>55</v>
      </c>
      <c r="K37" s="101"/>
      <c r="L37" s="101"/>
      <c r="M37" s="68"/>
      <c r="O37" t="str">
        <f t="shared" si="4"/>
        <v>329</v>
      </c>
      <c r="P37" t="str">
        <f t="shared" si="5"/>
        <v>32</v>
      </c>
      <c r="Q37" t="str">
        <f t="shared" si="6"/>
        <v>31</v>
      </c>
      <c r="R37" t="str">
        <f t="shared" si="7"/>
        <v>94</v>
      </c>
      <c r="V37">
        <v>3295</v>
      </c>
      <c r="W37" t="s">
        <v>754</v>
      </c>
      <c r="Y37" s="221" t="str">
        <f t="shared" si="8"/>
        <v>32</v>
      </c>
      <c r="Z37" t="str">
        <f t="shared" si="9"/>
        <v>329</v>
      </c>
      <c r="AB37" t="s">
        <v>755</v>
      </c>
      <c r="AC37" t="s">
        <v>756</v>
      </c>
      <c r="AD37" t="s">
        <v>657</v>
      </c>
      <c r="AE37" t="s">
        <v>658</v>
      </c>
      <c r="AF37" t="s">
        <v>644</v>
      </c>
      <c r="AG37" t="s">
        <v>659</v>
      </c>
    </row>
    <row r="38" spans="1:33">
      <c r="A38" s="64" t="str">
        <f>IF(C38="","",VLOOKUP('OPĆI DIO'!$C$3,'OPĆI DIO'!$L$6:$U$138,10,FALSE))</f>
        <v>08006</v>
      </c>
      <c r="B38" s="64" t="str">
        <f>IF(C38="","",VLOOKUP('OPĆI DIO'!$C$3,'OPĆI DIO'!$L$6:$U$138,9,FALSE))</f>
        <v>Sveučilišta i veleučilišta u Republici Hrvatskoj</v>
      </c>
      <c r="C38" s="69">
        <v>31</v>
      </c>
      <c r="D38" s="64" t="str">
        <f t="shared" si="0"/>
        <v>Vlastiti prihodi</v>
      </c>
      <c r="E38" s="69">
        <v>3299</v>
      </c>
      <c r="F38" s="64" t="str">
        <f t="shared" si="10"/>
        <v>Ostali nespomenuti rashodi poslovanja</v>
      </c>
      <c r="G38" s="102" t="s">
        <v>703</v>
      </c>
      <c r="H38" s="64" t="str">
        <f t="shared" si="2"/>
        <v>REDOVNA DJELATNOST SVEUČILIŠTA U ZAGREBU (IZ EVIDENCIJSKIH PRIHODA)</v>
      </c>
      <c r="I38" s="64" t="str">
        <f t="shared" si="3"/>
        <v>0942</v>
      </c>
      <c r="J38" s="101">
        <v>78</v>
      </c>
      <c r="K38" s="101">
        <v>1327</v>
      </c>
      <c r="L38" s="101">
        <f>5</f>
        <v>5</v>
      </c>
      <c r="M38" s="68"/>
      <c r="O38" t="str">
        <f t="shared" si="4"/>
        <v>329</v>
      </c>
      <c r="P38" t="str">
        <f t="shared" si="5"/>
        <v>32</v>
      </c>
      <c r="Q38" t="str">
        <f t="shared" si="6"/>
        <v>31</v>
      </c>
      <c r="R38" t="str">
        <f t="shared" si="7"/>
        <v>94</v>
      </c>
      <c r="V38">
        <v>3296</v>
      </c>
      <c r="W38" t="s">
        <v>757</v>
      </c>
      <c r="Y38" s="221" t="str">
        <f t="shared" si="8"/>
        <v>32</v>
      </c>
      <c r="Z38" t="str">
        <f t="shared" si="9"/>
        <v>329</v>
      </c>
      <c r="AB38" t="s">
        <v>758</v>
      </c>
      <c r="AC38" t="s">
        <v>759</v>
      </c>
      <c r="AD38" t="s">
        <v>760</v>
      </c>
      <c r="AE38" t="s">
        <v>761</v>
      </c>
      <c r="AF38" t="s">
        <v>651</v>
      </c>
      <c r="AG38" t="s">
        <v>762</v>
      </c>
    </row>
    <row r="39" spans="1:33">
      <c r="A39" s="64" t="str">
        <f>IF(C39="","",VLOOKUP('OPĆI DIO'!$C$3,'OPĆI DIO'!$L$6:$U$138,10,FALSE))</f>
        <v>08006</v>
      </c>
      <c r="B39" s="64" t="str">
        <f>IF(C39="","",VLOOKUP('OPĆI DIO'!$C$3,'OPĆI DIO'!$L$6:$U$138,9,FALSE))</f>
        <v>Sveučilišta i veleučilišta u Republici Hrvatskoj</v>
      </c>
      <c r="C39" s="69">
        <v>31</v>
      </c>
      <c r="D39" s="64" t="str">
        <f t="shared" si="0"/>
        <v>Vlastiti prihodi</v>
      </c>
      <c r="E39" s="69">
        <v>3431</v>
      </c>
      <c r="F39" s="64" t="str">
        <f t="shared" si="10"/>
        <v>Bankarske usluge i usluge platnog prometa</v>
      </c>
      <c r="G39" s="102" t="s">
        <v>703</v>
      </c>
      <c r="H39" s="64" t="str">
        <f t="shared" si="2"/>
        <v>REDOVNA DJELATNOST SVEUČILIŠTA U ZAGREBU (IZ EVIDENCIJSKIH PRIHODA)</v>
      </c>
      <c r="I39" s="64" t="str">
        <f t="shared" si="3"/>
        <v>0942</v>
      </c>
      <c r="J39" s="101">
        <v>53</v>
      </c>
      <c r="K39" s="101"/>
      <c r="L39" s="101">
        <v>16</v>
      </c>
      <c r="M39" s="68"/>
      <c r="O39" t="str">
        <f t="shared" si="4"/>
        <v>343</v>
      </c>
      <c r="P39" t="str">
        <f t="shared" si="5"/>
        <v>34</v>
      </c>
      <c r="Q39" t="str">
        <f t="shared" si="6"/>
        <v>31</v>
      </c>
      <c r="R39" t="str">
        <f t="shared" si="7"/>
        <v>94</v>
      </c>
      <c r="V39">
        <v>3299</v>
      </c>
      <c r="W39" t="s">
        <v>763</v>
      </c>
      <c r="Y39" s="221" t="str">
        <f t="shared" si="8"/>
        <v>32</v>
      </c>
      <c r="Z39" t="str">
        <f t="shared" si="9"/>
        <v>329</v>
      </c>
      <c r="AB39" t="s">
        <v>758</v>
      </c>
      <c r="AC39" t="s">
        <v>759</v>
      </c>
      <c r="AD39" t="s">
        <v>642</v>
      </c>
      <c r="AE39" t="s">
        <v>643</v>
      </c>
      <c r="AF39" t="s">
        <v>644</v>
      </c>
      <c r="AG39" t="s">
        <v>645</v>
      </c>
    </row>
    <row r="40" spans="1:33">
      <c r="A40" s="64" t="str">
        <f>IF(C40="","",VLOOKUP('OPĆI DIO'!$C$3,'OPĆI DIO'!$L$6:$U$138,10,FALSE))</f>
        <v>08006</v>
      </c>
      <c r="B40" s="64" t="str">
        <f>IF(C40="","",VLOOKUP('OPĆI DIO'!$C$3,'OPĆI DIO'!$L$6:$U$138,9,FALSE))</f>
        <v>Sveučilišta i veleučilišta u Republici Hrvatskoj</v>
      </c>
      <c r="C40" s="69">
        <v>31</v>
      </c>
      <c r="D40" s="64" t="str">
        <f t="shared" si="0"/>
        <v>Vlastiti prihodi</v>
      </c>
      <c r="E40" s="69">
        <v>3432</v>
      </c>
      <c r="F40" s="64" t="str">
        <f t="shared" si="10"/>
        <v>Negativne tečajne razlike i razlike zbog primjene valutne kl</v>
      </c>
      <c r="G40" s="102" t="s">
        <v>703</v>
      </c>
      <c r="H40" s="64" t="str">
        <f t="shared" si="2"/>
        <v>REDOVNA DJELATNOST SVEUČILIŠTA U ZAGREBU (IZ EVIDENCIJSKIH PRIHODA)</v>
      </c>
      <c r="I40" s="64" t="str">
        <f t="shared" si="3"/>
        <v>0942</v>
      </c>
      <c r="J40" s="101">
        <v>7</v>
      </c>
      <c r="K40" s="101"/>
      <c r="L40" s="101"/>
      <c r="M40" s="68"/>
      <c r="O40" t="str">
        <f t="shared" si="4"/>
        <v>343</v>
      </c>
      <c r="P40" t="str">
        <f t="shared" si="5"/>
        <v>34</v>
      </c>
      <c r="Q40" t="str">
        <f t="shared" si="6"/>
        <v>31</v>
      </c>
      <c r="R40" t="str">
        <f t="shared" si="7"/>
        <v>94</v>
      </c>
      <c r="V40">
        <v>3411</v>
      </c>
      <c r="W40" t="s">
        <v>764</v>
      </c>
      <c r="Y40" s="221" t="str">
        <f t="shared" si="8"/>
        <v>34</v>
      </c>
      <c r="Z40" t="str">
        <f t="shared" si="9"/>
        <v>341</v>
      </c>
      <c r="AB40" t="s">
        <v>765</v>
      </c>
      <c r="AC40" t="s">
        <v>766</v>
      </c>
      <c r="AD40" t="s">
        <v>642</v>
      </c>
      <c r="AE40" t="s">
        <v>643</v>
      </c>
      <c r="AF40" t="s">
        <v>644</v>
      </c>
      <c r="AG40" t="s">
        <v>645</v>
      </c>
    </row>
    <row r="41" spans="1:33">
      <c r="A41" s="64" t="str">
        <f>IF(C41="","",VLOOKUP('OPĆI DIO'!$C$3,'OPĆI DIO'!$L$6:$U$138,10,FALSE))</f>
        <v>08006</v>
      </c>
      <c r="B41" s="64" t="str">
        <f>IF(C41="","",VLOOKUP('OPĆI DIO'!$C$3,'OPĆI DIO'!$L$6:$U$138,9,FALSE))</f>
        <v>Sveučilišta i veleučilišta u Republici Hrvatskoj</v>
      </c>
      <c r="C41" s="69">
        <v>31</v>
      </c>
      <c r="D41" s="64" t="str">
        <f t="shared" si="0"/>
        <v>Vlastiti prihodi</v>
      </c>
      <c r="E41" s="69">
        <v>4221</v>
      </c>
      <c r="F41" s="64" t="str">
        <f t="shared" si="10"/>
        <v>Uredska oprema i namještaj</v>
      </c>
      <c r="G41" s="102" t="s">
        <v>703</v>
      </c>
      <c r="H41" s="64" t="str">
        <f t="shared" si="2"/>
        <v>REDOVNA DJELATNOST SVEUČILIŠTA U ZAGREBU (IZ EVIDENCIJSKIH PRIHODA)</v>
      </c>
      <c r="I41" s="64" t="str">
        <f t="shared" si="3"/>
        <v>0942</v>
      </c>
      <c r="J41" s="101">
        <v>2377</v>
      </c>
      <c r="K41" s="101"/>
      <c r="L41" s="101">
        <f>480-480</f>
        <v>0</v>
      </c>
      <c r="M41" s="68"/>
      <c r="O41" t="str">
        <f t="shared" si="4"/>
        <v>422</v>
      </c>
      <c r="P41" t="str">
        <f t="shared" si="5"/>
        <v>42</v>
      </c>
      <c r="Q41" t="str">
        <f t="shared" si="6"/>
        <v>31</v>
      </c>
      <c r="R41" t="str">
        <f t="shared" si="7"/>
        <v>94</v>
      </c>
      <c r="V41">
        <v>3422</v>
      </c>
      <c r="W41" t="s">
        <v>767</v>
      </c>
      <c r="Y41" s="221" t="str">
        <f t="shared" si="8"/>
        <v>34</v>
      </c>
      <c r="Z41" t="str">
        <f t="shared" si="9"/>
        <v>342</v>
      </c>
      <c r="AB41" t="s">
        <v>768</v>
      </c>
      <c r="AC41" t="s">
        <v>769</v>
      </c>
      <c r="AD41" t="s">
        <v>657</v>
      </c>
      <c r="AE41" t="s">
        <v>658</v>
      </c>
      <c r="AF41" t="s">
        <v>644</v>
      </c>
      <c r="AG41" t="s">
        <v>659</v>
      </c>
    </row>
    <row r="42" spans="1:33" ht="15.75" customHeight="1">
      <c r="A42" s="64" t="str">
        <f>IF(C42="","",VLOOKUP('OPĆI DIO'!$C$3,'OPĆI DIO'!$L$6:$U$138,10,FALSE))</f>
        <v>08006</v>
      </c>
      <c r="B42" s="64" t="str">
        <f>IF(C42="","",VLOOKUP('OPĆI DIO'!$C$3,'OPĆI DIO'!$L$6:$U$138,9,FALSE))</f>
        <v>Sveučilišta i veleučilišta u Republici Hrvatskoj</v>
      </c>
      <c r="C42" s="69">
        <v>31</v>
      </c>
      <c r="D42" s="64" t="str">
        <f t="shared" si="0"/>
        <v>Vlastiti prihodi</v>
      </c>
      <c r="E42" s="69">
        <v>4222</v>
      </c>
      <c r="F42" s="64" t="str">
        <f t="shared" si="10"/>
        <v>Komunikacijska oprema</v>
      </c>
      <c r="G42" s="102" t="s">
        <v>703</v>
      </c>
      <c r="H42" s="64" t="str">
        <f t="shared" si="2"/>
        <v>REDOVNA DJELATNOST SVEUČILIŠTA U ZAGREBU (IZ EVIDENCIJSKIH PRIHODA)</v>
      </c>
      <c r="I42" s="64" t="str">
        <f t="shared" si="3"/>
        <v>0942</v>
      </c>
      <c r="J42" s="101">
        <v>849</v>
      </c>
      <c r="K42" s="101"/>
      <c r="L42" s="101"/>
      <c r="M42" s="68"/>
      <c r="O42" t="str">
        <f t="shared" si="4"/>
        <v>422</v>
      </c>
      <c r="P42" t="str">
        <f t="shared" si="5"/>
        <v>42</v>
      </c>
      <c r="Q42" t="str">
        <f t="shared" si="6"/>
        <v>31</v>
      </c>
      <c r="R42" t="str">
        <f t="shared" si="7"/>
        <v>94</v>
      </c>
      <c r="V42">
        <v>3423</v>
      </c>
      <c r="W42" t="s">
        <v>767</v>
      </c>
      <c r="Y42" s="221" t="str">
        <f t="shared" ref="Y42:Y73" si="11">LEFT(V42,2)</f>
        <v>34</v>
      </c>
      <c r="Z42" t="str">
        <f t="shared" ref="Z42:Z73" si="12">LEFT(V42,3)</f>
        <v>342</v>
      </c>
      <c r="AB42" t="s">
        <v>770</v>
      </c>
      <c r="AC42" t="s">
        <v>771</v>
      </c>
      <c r="AD42" t="s">
        <v>760</v>
      </c>
      <c r="AE42" t="s">
        <v>761</v>
      </c>
      <c r="AF42" t="s">
        <v>651</v>
      </c>
      <c r="AG42" t="s">
        <v>762</v>
      </c>
    </row>
    <row r="43" spans="1:33">
      <c r="A43" s="64" t="str">
        <f>IF(C43="","",VLOOKUP('OPĆI DIO'!$C$3,'OPĆI DIO'!$L$6:$U$138,10,FALSE))</f>
        <v>08006</v>
      </c>
      <c r="B43" s="64" t="str">
        <f>IF(C43="","",VLOOKUP('OPĆI DIO'!$C$3,'OPĆI DIO'!$L$6:$U$138,9,FALSE))</f>
        <v>Sveučilišta i veleučilišta u Republici Hrvatskoj</v>
      </c>
      <c r="C43" s="69">
        <v>31</v>
      </c>
      <c r="D43" s="64" t="str">
        <f t="shared" si="0"/>
        <v>Vlastiti prihodi</v>
      </c>
      <c r="E43" s="69">
        <v>4225</v>
      </c>
      <c r="F43" s="64" t="str">
        <f t="shared" si="10"/>
        <v>Instrumenti, uređaji i strojevi</v>
      </c>
      <c r="G43" s="102" t="s">
        <v>703</v>
      </c>
      <c r="H43" s="64" t="str">
        <f t="shared" si="2"/>
        <v>REDOVNA DJELATNOST SVEUČILIŠTA U ZAGREBU (IZ EVIDENCIJSKIH PRIHODA)</v>
      </c>
      <c r="I43" s="64" t="str">
        <f t="shared" si="3"/>
        <v>0942</v>
      </c>
      <c r="J43" s="101">
        <v>4094</v>
      </c>
      <c r="K43" s="101"/>
      <c r="L43" s="101">
        <v>1547</v>
      </c>
      <c r="M43" s="68"/>
      <c r="O43" t="str">
        <f t="shared" si="4"/>
        <v>422</v>
      </c>
      <c r="P43" t="str">
        <f t="shared" si="5"/>
        <v>42</v>
      </c>
      <c r="Q43" t="str">
        <f t="shared" si="6"/>
        <v>31</v>
      </c>
      <c r="R43" t="str">
        <f t="shared" si="7"/>
        <v>94</v>
      </c>
      <c r="V43">
        <v>3427</v>
      </c>
      <c r="W43" t="s">
        <v>772</v>
      </c>
      <c r="Y43" s="221" t="str">
        <f t="shared" si="11"/>
        <v>34</v>
      </c>
      <c r="Z43" t="str">
        <f t="shared" si="12"/>
        <v>342</v>
      </c>
      <c r="AB43" t="s">
        <v>770</v>
      </c>
      <c r="AC43" t="s">
        <v>771</v>
      </c>
      <c r="AD43" t="s">
        <v>642</v>
      </c>
      <c r="AE43" t="s">
        <v>643</v>
      </c>
      <c r="AF43" t="s">
        <v>644</v>
      </c>
      <c r="AG43" t="s">
        <v>645</v>
      </c>
    </row>
    <row r="44" spans="1:33">
      <c r="A44" s="64" t="str">
        <f>IF(C44="","",VLOOKUP('OPĆI DIO'!$C$3,'OPĆI DIO'!$L$6:$U$138,10,FALSE))</f>
        <v>08006</v>
      </c>
      <c r="B44" s="64" t="str">
        <f>IF(C44="","",VLOOKUP('OPĆI DIO'!$C$3,'OPĆI DIO'!$L$6:$U$138,9,FALSE))</f>
        <v>Sveučilišta i veleučilišta u Republici Hrvatskoj</v>
      </c>
      <c r="C44" s="69">
        <v>31</v>
      </c>
      <c r="D44" s="64" t="str">
        <f t="shared" si="0"/>
        <v>Vlastiti prihodi</v>
      </c>
      <c r="E44" s="69">
        <v>4226</v>
      </c>
      <c r="F44" s="64" t="str">
        <f t="shared" si="10"/>
        <v>Sportska i glazbena oprema</v>
      </c>
      <c r="G44" s="102" t="s">
        <v>703</v>
      </c>
      <c r="H44" s="64" t="str">
        <f t="shared" si="2"/>
        <v>REDOVNA DJELATNOST SVEUČILIŠTA U ZAGREBU (IZ EVIDENCIJSKIH PRIHODA)</v>
      </c>
      <c r="I44" s="64" t="str">
        <f t="shared" si="3"/>
        <v>0942</v>
      </c>
      <c r="J44" s="101">
        <v>1352</v>
      </c>
      <c r="K44" s="101">
        <v>6735</v>
      </c>
      <c r="L44" s="101"/>
      <c r="M44" s="68"/>
      <c r="O44" t="str">
        <f t="shared" si="4"/>
        <v>422</v>
      </c>
      <c r="P44" t="str">
        <f t="shared" si="5"/>
        <v>42</v>
      </c>
      <c r="Q44" t="str">
        <f t="shared" si="6"/>
        <v>31</v>
      </c>
      <c r="R44" t="str">
        <f t="shared" si="7"/>
        <v>94</v>
      </c>
      <c r="V44">
        <v>3431</v>
      </c>
      <c r="W44" t="s">
        <v>773</v>
      </c>
      <c r="Y44" s="221" t="str">
        <f t="shared" si="11"/>
        <v>34</v>
      </c>
      <c r="Z44" t="str">
        <f t="shared" si="12"/>
        <v>343</v>
      </c>
      <c r="AB44" t="s">
        <v>774</v>
      </c>
      <c r="AC44" t="s">
        <v>775</v>
      </c>
      <c r="AD44" t="s">
        <v>642</v>
      </c>
      <c r="AE44" t="s">
        <v>643</v>
      </c>
      <c r="AF44" t="s">
        <v>644</v>
      </c>
      <c r="AG44" t="s">
        <v>645</v>
      </c>
    </row>
    <row r="45" spans="1:33">
      <c r="A45" s="64" t="str">
        <f>IF(C45="","",VLOOKUP('OPĆI DIO'!$C$3,'OPĆI DIO'!$L$6:$U$138,10,FALSE))</f>
        <v>08006</v>
      </c>
      <c r="B45" s="64" t="str">
        <f>IF(C45="","",VLOOKUP('OPĆI DIO'!$C$3,'OPĆI DIO'!$L$6:$U$138,9,FALSE))</f>
        <v>Sveučilišta i veleučilišta u Republici Hrvatskoj</v>
      </c>
      <c r="C45" s="69">
        <v>43</v>
      </c>
      <c r="D45" s="64" t="str">
        <f t="shared" si="0"/>
        <v>Ostali prihodi za posebne namjene</v>
      </c>
      <c r="E45" s="69">
        <v>3111</v>
      </c>
      <c r="F45" s="64" t="str">
        <f t="shared" si="10"/>
        <v>Plaće za redovan rad</v>
      </c>
      <c r="G45" s="102" t="s">
        <v>703</v>
      </c>
      <c r="H45" s="64" t="str">
        <f t="shared" si="2"/>
        <v>REDOVNA DJELATNOST SVEUČILIŠTA U ZAGREBU (IZ EVIDENCIJSKIH PRIHODA)</v>
      </c>
      <c r="I45" s="64" t="str">
        <f t="shared" si="3"/>
        <v>0942</v>
      </c>
      <c r="J45" s="101">
        <f>166843-16048</f>
        <v>150795</v>
      </c>
      <c r="K45" s="101">
        <v>398189</v>
      </c>
      <c r="L45" s="101">
        <f>168745+6192-6191</f>
        <v>168746</v>
      </c>
      <c r="M45" s="68"/>
      <c r="O45" t="str">
        <f t="shared" si="4"/>
        <v>311</v>
      </c>
      <c r="P45" t="str">
        <f t="shared" si="5"/>
        <v>31</v>
      </c>
      <c r="Q45" t="str">
        <f t="shared" si="6"/>
        <v>43</v>
      </c>
      <c r="R45" t="str">
        <f t="shared" si="7"/>
        <v>94</v>
      </c>
      <c r="V45">
        <v>3432</v>
      </c>
      <c r="W45" t="s">
        <v>776</v>
      </c>
      <c r="Y45" s="221" t="str">
        <f t="shared" si="11"/>
        <v>34</v>
      </c>
      <c r="Z45" t="str">
        <f t="shared" si="12"/>
        <v>343</v>
      </c>
      <c r="AB45" t="s">
        <v>777</v>
      </c>
      <c r="AC45" t="s">
        <v>778</v>
      </c>
      <c r="AD45" t="s">
        <v>760</v>
      </c>
      <c r="AE45" t="s">
        <v>761</v>
      </c>
      <c r="AF45" t="s">
        <v>651</v>
      </c>
      <c r="AG45" t="s">
        <v>762</v>
      </c>
    </row>
    <row r="46" spans="1:33">
      <c r="A46" s="64" t="str">
        <f>IF(C46="","",VLOOKUP('OPĆI DIO'!$C$3,'OPĆI DIO'!$L$6:$U$138,10,FALSE))</f>
        <v>08006</v>
      </c>
      <c r="B46" s="64" t="str">
        <f>IF(C46="","",VLOOKUP('OPĆI DIO'!$C$3,'OPĆI DIO'!$L$6:$U$138,9,FALSE))</f>
        <v>Sveučilišta i veleučilišta u Republici Hrvatskoj</v>
      </c>
      <c r="C46" s="69">
        <v>43</v>
      </c>
      <c r="D46" s="64" t="str">
        <f t="shared" si="0"/>
        <v>Ostali prihodi za posebne namjene</v>
      </c>
      <c r="E46" s="69">
        <v>3112</v>
      </c>
      <c r="F46" s="64" t="str">
        <f t="shared" si="10"/>
        <v>Plaće u naravi</v>
      </c>
      <c r="G46" s="102" t="s">
        <v>703</v>
      </c>
      <c r="H46" s="64" t="str">
        <f t="shared" si="2"/>
        <v>REDOVNA DJELATNOST SVEUČILIŠTA U ZAGREBU (IZ EVIDENCIJSKIH PRIHODA)</v>
      </c>
      <c r="I46" s="64" t="str">
        <f t="shared" si="3"/>
        <v>0942</v>
      </c>
      <c r="J46" s="101">
        <v>9683</v>
      </c>
      <c r="K46" s="101">
        <v>17519</v>
      </c>
      <c r="L46" s="101"/>
      <c r="M46" s="68"/>
      <c r="O46" t="str">
        <f t="shared" si="4"/>
        <v>311</v>
      </c>
      <c r="P46" t="str">
        <f t="shared" si="5"/>
        <v>31</v>
      </c>
      <c r="Q46" t="str">
        <f t="shared" si="6"/>
        <v>43</v>
      </c>
      <c r="R46" t="str">
        <f t="shared" si="7"/>
        <v>94</v>
      </c>
      <c r="V46">
        <v>3433</v>
      </c>
      <c r="W46" t="s">
        <v>779</v>
      </c>
      <c r="Y46" s="221" t="str">
        <f t="shared" si="11"/>
        <v>34</v>
      </c>
      <c r="Z46" t="str">
        <f t="shared" si="12"/>
        <v>343</v>
      </c>
      <c r="AB46" t="s">
        <v>777</v>
      </c>
      <c r="AC46" t="s">
        <v>778</v>
      </c>
      <c r="AD46" t="s">
        <v>780</v>
      </c>
      <c r="AE46" t="s">
        <v>781</v>
      </c>
      <c r="AF46" t="s">
        <v>644</v>
      </c>
      <c r="AG46" t="s">
        <v>782</v>
      </c>
    </row>
    <row r="47" spans="1:33">
      <c r="A47" s="64" t="str">
        <f>IF(C47="","",VLOOKUP('OPĆI DIO'!$C$3,'OPĆI DIO'!$L$6:$U$138,10,FALSE))</f>
        <v>08006</v>
      </c>
      <c r="B47" s="64" t="str">
        <f>IF(C47="","",VLOOKUP('OPĆI DIO'!$C$3,'OPĆI DIO'!$L$6:$U$138,9,FALSE))</f>
        <v>Sveučilišta i veleučilišta u Republici Hrvatskoj</v>
      </c>
      <c r="C47" s="69">
        <v>43</v>
      </c>
      <c r="D47" s="64" t="str">
        <f t="shared" si="0"/>
        <v>Ostali prihodi za posebne namjene</v>
      </c>
      <c r="E47" s="69">
        <v>3121</v>
      </c>
      <c r="F47" s="64" t="str">
        <f t="shared" si="10"/>
        <v>Ostali rashodi za zaposlene</v>
      </c>
      <c r="G47" s="102" t="s">
        <v>703</v>
      </c>
      <c r="H47" s="64" t="str">
        <f t="shared" si="2"/>
        <v>REDOVNA DJELATNOST SVEUČILIŠTA U ZAGREBU (IZ EVIDENCIJSKIH PRIHODA)</v>
      </c>
      <c r="I47" s="64" t="str">
        <f t="shared" si="3"/>
        <v>0942</v>
      </c>
      <c r="J47" s="101">
        <f>18459-398</f>
        <v>18061</v>
      </c>
      <c r="K47" s="101">
        <v>86269</v>
      </c>
      <c r="L47" s="101">
        <f>23846+16218-1067</f>
        <v>38997</v>
      </c>
      <c r="M47" s="68"/>
      <c r="O47" t="str">
        <f t="shared" si="4"/>
        <v>312</v>
      </c>
      <c r="P47" t="str">
        <f t="shared" si="5"/>
        <v>31</v>
      </c>
      <c r="Q47" t="str">
        <f t="shared" si="6"/>
        <v>43</v>
      </c>
      <c r="R47" t="str">
        <f t="shared" si="7"/>
        <v>94</v>
      </c>
      <c r="V47">
        <v>3434</v>
      </c>
      <c r="W47" t="s">
        <v>783</v>
      </c>
      <c r="Y47" s="221" t="str">
        <f t="shared" si="11"/>
        <v>34</v>
      </c>
      <c r="Z47" t="str">
        <f t="shared" si="12"/>
        <v>343</v>
      </c>
      <c r="AB47" t="s">
        <v>784</v>
      </c>
      <c r="AC47" t="s">
        <v>785</v>
      </c>
      <c r="AD47" t="s">
        <v>780</v>
      </c>
      <c r="AE47" t="s">
        <v>781</v>
      </c>
      <c r="AF47" t="s">
        <v>644</v>
      </c>
      <c r="AG47" t="s">
        <v>782</v>
      </c>
    </row>
    <row r="48" spans="1:33">
      <c r="A48" s="64" t="str">
        <f>IF(C48="","",VLOOKUP('OPĆI DIO'!$C$3,'OPĆI DIO'!$L$6:$U$138,10,FALSE))</f>
        <v>08006</v>
      </c>
      <c r="B48" s="64" t="str">
        <f>IF(C48="","",VLOOKUP('OPĆI DIO'!$C$3,'OPĆI DIO'!$L$6:$U$138,9,FALSE))</f>
        <v>Sveučilišta i veleučilišta u Republici Hrvatskoj</v>
      </c>
      <c r="C48" s="69">
        <v>43</v>
      </c>
      <c r="D48" s="64" t="str">
        <f t="shared" si="0"/>
        <v>Ostali prihodi za posebne namjene</v>
      </c>
      <c r="E48" s="69">
        <v>3121</v>
      </c>
      <c r="F48" s="64" t="str">
        <f t="shared" si="10"/>
        <v>Ostali rashodi za zaposlene</v>
      </c>
      <c r="G48" s="102" t="s">
        <v>703</v>
      </c>
      <c r="H48" s="64" t="str">
        <f t="shared" si="2"/>
        <v>REDOVNA DJELATNOST SVEUČILIŠTA U ZAGREBU (IZ EVIDENCIJSKIH PRIHODA)</v>
      </c>
      <c r="I48" s="64" t="str">
        <f t="shared" si="3"/>
        <v>0942</v>
      </c>
      <c r="J48" s="101">
        <v>796</v>
      </c>
      <c r="K48" s="101"/>
      <c r="L48" s="101"/>
      <c r="M48" s="68"/>
      <c r="O48" t="str">
        <f t="shared" si="4"/>
        <v>312</v>
      </c>
      <c r="P48" t="str">
        <f t="shared" si="5"/>
        <v>31</v>
      </c>
      <c r="Q48" t="str">
        <f t="shared" si="6"/>
        <v>43</v>
      </c>
      <c r="R48" t="str">
        <f t="shared" si="7"/>
        <v>94</v>
      </c>
      <c r="V48">
        <v>3511</v>
      </c>
      <c r="W48" t="s">
        <v>786</v>
      </c>
      <c r="Y48" s="221" t="str">
        <f t="shared" si="11"/>
        <v>35</v>
      </c>
      <c r="Z48" t="str">
        <f t="shared" si="12"/>
        <v>351</v>
      </c>
      <c r="AB48" t="s">
        <v>787</v>
      </c>
      <c r="AC48" t="s">
        <v>788</v>
      </c>
      <c r="AD48" t="s">
        <v>780</v>
      </c>
      <c r="AE48" t="s">
        <v>781</v>
      </c>
      <c r="AF48" t="s">
        <v>644</v>
      </c>
      <c r="AG48" t="s">
        <v>782</v>
      </c>
    </row>
    <row r="49" spans="1:33">
      <c r="A49" s="64" t="str">
        <f>IF(C49="","",VLOOKUP('OPĆI DIO'!$C$3,'OPĆI DIO'!$L$6:$U$138,10,FALSE))</f>
        <v>08006</v>
      </c>
      <c r="B49" s="64" t="str">
        <f>IF(C49="","",VLOOKUP('OPĆI DIO'!$C$3,'OPĆI DIO'!$L$6:$U$138,9,FALSE))</f>
        <v>Sveučilišta i veleučilišta u Republici Hrvatskoj</v>
      </c>
      <c r="C49" s="69">
        <v>43</v>
      </c>
      <c r="D49" s="64" t="str">
        <f t="shared" si="0"/>
        <v>Ostali prihodi za posebne namjene</v>
      </c>
      <c r="E49" s="69">
        <v>3132</v>
      </c>
      <c r="F49" s="64" t="str">
        <f t="shared" si="10"/>
        <v>Doprinosi za obvezno zdravstveno osiguranje</v>
      </c>
      <c r="G49" s="102" t="s">
        <v>703</v>
      </c>
      <c r="H49" s="64" t="str">
        <f t="shared" si="2"/>
        <v>REDOVNA DJELATNOST SVEUČILIŠTA U ZAGREBU (IZ EVIDENCIJSKIH PRIHODA)</v>
      </c>
      <c r="I49" s="64" t="str">
        <f t="shared" si="3"/>
        <v>0942</v>
      </c>
      <c r="J49" s="101">
        <f>27586-2648</f>
        <v>24938</v>
      </c>
      <c r="K49" s="101">
        <v>66478</v>
      </c>
      <c r="L49" s="101">
        <v>29589</v>
      </c>
      <c r="M49" s="68"/>
      <c r="O49" t="str">
        <f t="shared" si="4"/>
        <v>313</v>
      </c>
      <c r="P49" t="str">
        <f t="shared" si="5"/>
        <v>31</v>
      </c>
      <c r="Q49" t="str">
        <f t="shared" si="6"/>
        <v>43</v>
      </c>
      <c r="R49" t="str">
        <f t="shared" si="7"/>
        <v>94</v>
      </c>
      <c r="V49">
        <v>3512</v>
      </c>
      <c r="W49" t="s">
        <v>789</v>
      </c>
      <c r="Y49" s="221" t="str">
        <f t="shared" si="11"/>
        <v>35</v>
      </c>
      <c r="Z49" t="str">
        <f t="shared" si="12"/>
        <v>351</v>
      </c>
      <c r="AB49" t="s">
        <v>790</v>
      </c>
      <c r="AC49" t="s">
        <v>771</v>
      </c>
      <c r="AD49" t="s">
        <v>760</v>
      </c>
      <c r="AE49" t="s">
        <v>761</v>
      </c>
      <c r="AF49" t="s">
        <v>651</v>
      </c>
      <c r="AG49" t="s">
        <v>762</v>
      </c>
    </row>
    <row r="50" spans="1:33">
      <c r="A50" s="64" t="str">
        <f>IF(C50="","",VLOOKUP('OPĆI DIO'!$C$3,'OPĆI DIO'!$L$6:$U$138,10,FALSE))</f>
        <v>08006</v>
      </c>
      <c r="B50" s="64" t="str">
        <f>IF(C50="","",VLOOKUP('OPĆI DIO'!$C$3,'OPĆI DIO'!$L$6:$U$138,9,FALSE))</f>
        <v>Sveučilišta i veleučilišta u Republici Hrvatskoj</v>
      </c>
      <c r="C50" s="69">
        <v>43</v>
      </c>
      <c r="D50" s="64" t="str">
        <f t="shared" si="0"/>
        <v>Ostali prihodi za posebne namjene</v>
      </c>
      <c r="E50" s="69">
        <v>3211</v>
      </c>
      <c r="F50" s="64" t="str">
        <f t="shared" si="10"/>
        <v>Službena putovanja</v>
      </c>
      <c r="G50" s="102" t="s">
        <v>703</v>
      </c>
      <c r="H50" s="64" t="str">
        <f t="shared" si="2"/>
        <v>REDOVNA DJELATNOST SVEUČILIŠTA U ZAGREBU (IZ EVIDENCIJSKIH PRIHODA)</v>
      </c>
      <c r="I50" s="64" t="str">
        <f t="shared" si="3"/>
        <v>0942</v>
      </c>
      <c r="J50" s="101">
        <f>3041+5782+9094+9621+16204+1356+265+116</f>
        <v>45479</v>
      </c>
      <c r="K50" s="101">
        <v>120477</v>
      </c>
      <c r="L50" s="101">
        <f>1457+14469+3319+17551+17319+6727+856+44+6181</f>
        <v>67923</v>
      </c>
      <c r="M50" s="68"/>
      <c r="O50" t="str">
        <f t="shared" si="4"/>
        <v>321</v>
      </c>
      <c r="P50" t="str">
        <f t="shared" si="5"/>
        <v>32</v>
      </c>
      <c r="Q50" t="str">
        <f t="shared" si="6"/>
        <v>43</v>
      </c>
      <c r="R50" t="str">
        <f t="shared" si="7"/>
        <v>94</v>
      </c>
      <c r="V50">
        <v>3522</v>
      </c>
      <c r="W50" t="s">
        <v>791</v>
      </c>
      <c r="Y50" s="221" t="str">
        <f t="shared" si="11"/>
        <v>35</v>
      </c>
      <c r="Z50" t="str">
        <f t="shared" si="12"/>
        <v>352</v>
      </c>
      <c r="AB50" t="s">
        <v>792</v>
      </c>
      <c r="AC50" t="s">
        <v>793</v>
      </c>
      <c r="AD50" t="s">
        <v>780</v>
      </c>
      <c r="AE50" t="s">
        <v>781</v>
      </c>
      <c r="AF50" t="s">
        <v>644</v>
      </c>
      <c r="AG50" t="s">
        <v>782</v>
      </c>
    </row>
    <row r="51" spans="1:33">
      <c r="A51" s="64" t="str">
        <f>IF(C51="","",VLOOKUP('OPĆI DIO'!$C$3,'OPĆI DIO'!$L$6:$U$138,10,FALSE))</f>
        <v>08006</v>
      </c>
      <c r="B51" s="64" t="str">
        <f>IF(C51="","",VLOOKUP('OPĆI DIO'!$C$3,'OPĆI DIO'!$L$6:$U$138,9,FALSE))</f>
        <v>Sveučilišta i veleučilišta u Republici Hrvatskoj</v>
      </c>
      <c r="C51" s="69">
        <v>43</v>
      </c>
      <c r="D51" s="64" t="str">
        <f t="shared" si="0"/>
        <v>Ostali prihodi za posebne namjene</v>
      </c>
      <c r="E51" s="69">
        <v>3212</v>
      </c>
      <c r="F51" s="64" t="str">
        <f t="shared" si="10"/>
        <v>Naknade za prijevoz, za rad na terenu i odvojeni život</v>
      </c>
      <c r="G51" s="102" t="s">
        <v>703</v>
      </c>
      <c r="H51" s="64" t="str">
        <f t="shared" si="2"/>
        <v>REDOVNA DJELATNOST SVEUČILIŠTA U ZAGREBU (IZ EVIDENCIJSKIH PRIHODA)</v>
      </c>
      <c r="I51" s="64" t="str">
        <f t="shared" si="3"/>
        <v>0942</v>
      </c>
      <c r="J51" s="101">
        <f>563-417</f>
        <v>146</v>
      </c>
      <c r="K51" s="101">
        <v>925</v>
      </c>
      <c r="L51" s="101"/>
      <c r="M51" s="68"/>
      <c r="O51" t="str">
        <f t="shared" si="4"/>
        <v>321</v>
      </c>
      <c r="P51" t="str">
        <f t="shared" si="5"/>
        <v>32</v>
      </c>
      <c r="Q51" t="str">
        <f t="shared" si="6"/>
        <v>43</v>
      </c>
      <c r="R51" t="str">
        <f t="shared" si="7"/>
        <v>94</v>
      </c>
      <c r="V51">
        <v>3531</v>
      </c>
      <c r="W51" t="s">
        <v>794</v>
      </c>
      <c r="Y51" s="221" t="str">
        <f t="shared" si="11"/>
        <v>35</v>
      </c>
      <c r="Z51" t="str">
        <f t="shared" si="12"/>
        <v>353</v>
      </c>
      <c r="AB51" t="s">
        <v>795</v>
      </c>
      <c r="AC51" t="s">
        <v>796</v>
      </c>
      <c r="AD51" t="s">
        <v>780</v>
      </c>
      <c r="AE51" t="s">
        <v>781</v>
      </c>
      <c r="AF51" t="s">
        <v>644</v>
      </c>
      <c r="AG51" t="s">
        <v>782</v>
      </c>
    </row>
    <row r="52" spans="1:33">
      <c r="A52" s="64" t="str">
        <f>IF(C52="","",VLOOKUP('OPĆI DIO'!$C$3,'OPĆI DIO'!$L$6:$U$138,10,FALSE))</f>
        <v>08006</v>
      </c>
      <c r="B52" s="64" t="str">
        <f>IF(C52="","",VLOOKUP('OPĆI DIO'!$C$3,'OPĆI DIO'!$L$6:$U$138,9,FALSE))</f>
        <v>Sveučilišta i veleučilišta u Republici Hrvatskoj</v>
      </c>
      <c r="C52" s="69">
        <v>43</v>
      </c>
      <c r="D52" s="64" t="str">
        <f t="shared" si="0"/>
        <v>Ostali prihodi za posebne namjene</v>
      </c>
      <c r="E52" s="69">
        <v>3213</v>
      </c>
      <c r="F52" s="64" t="str">
        <f t="shared" si="10"/>
        <v>Stručno usavršavanje zaposlenika</v>
      </c>
      <c r="G52" s="102" t="s">
        <v>703</v>
      </c>
      <c r="H52" s="64" t="str">
        <f t="shared" si="2"/>
        <v>REDOVNA DJELATNOST SVEUČILIŠTA U ZAGREBU (IZ EVIDENCIJSKIH PRIHODA)</v>
      </c>
      <c r="I52" s="64" t="str">
        <f t="shared" si="3"/>
        <v>0942</v>
      </c>
      <c r="J52" s="101">
        <v>6795</v>
      </c>
      <c r="K52" s="101">
        <v>6105</v>
      </c>
      <c r="L52" s="101">
        <f>7906+89+1049</f>
        <v>9044</v>
      </c>
      <c r="M52" s="68"/>
      <c r="O52" t="str">
        <f t="shared" si="4"/>
        <v>321</v>
      </c>
      <c r="P52" t="str">
        <f t="shared" si="5"/>
        <v>32</v>
      </c>
      <c r="Q52" t="str">
        <f t="shared" si="6"/>
        <v>43</v>
      </c>
      <c r="R52" t="str">
        <f t="shared" si="7"/>
        <v>94</v>
      </c>
      <c r="V52">
        <v>3611</v>
      </c>
      <c r="W52" t="s">
        <v>797</v>
      </c>
      <c r="Y52" s="221" t="str">
        <f t="shared" si="11"/>
        <v>36</v>
      </c>
      <c r="Z52" t="str">
        <f t="shared" si="12"/>
        <v>361</v>
      </c>
      <c r="AB52" t="s">
        <v>798</v>
      </c>
      <c r="AC52" t="s">
        <v>799</v>
      </c>
      <c r="AD52" t="s">
        <v>780</v>
      </c>
      <c r="AE52" t="s">
        <v>781</v>
      </c>
      <c r="AF52" t="s">
        <v>644</v>
      </c>
      <c r="AG52" t="s">
        <v>782</v>
      </c>
    </row>
    <row r="53" spans="1:33">
      <c r="A53" s="64" t="str">
        <f>IF(C53="","",VLOOKUP('OPĆI DIO'!$C$3,'OPĆI DIO'!$L$6:$U$138,10,FALSE))</f>
        <v>08006</v>
      </c>
      <c r="B53" s="64" t="str">
        <f>IF(C53="","",VLOOKUP('OPĆI DIO'!$C$3,'OPĆI DIO'!$L$6:$U$138,9,FALSE))</f>
        <v>Sveučilišta i veleučilišta u Republici Hrvatskoj</v>
      </c>
      <c r="C53" s="69">
        <v>43</v>
      </c>
      <c r="D53" s="64" t="str">
        <f t="shared" si="0"/>
        <v>Ostali prihodi za posebne namjene</v>
      </c>
      <c r="E53" s="69">
        <v>3214</v>
      </c>
      <c r="F53" s="64" t="str">
        <f t="shared" si="10"/>
        <v>Ostale naknade troškova zaposlenima</v>
      </c>
      <c r="G53" s="102" t="s">
        <v>703</v>
      </c>
      <c r="H53" s="64" t="str">
        <f t="shared" si="2"/>
        <v>REDOVNA DJELATNOST SVEUČILIŠTA U ZAGREBU (IZ EVIDENCIJSKIH PRIHODA)</v>
      </c>
      <c r="I53" s="64" t="str">
        <f t="shared" si="3"/>
        <v>0942</v>
      </c>
      <c r="J53" s="101">
        <v>457</v>
      </c>
      <c r="K53" s="101"/>
      <c r="L53" s="101">
        <v>220</v>
      </c>
      <c r="M53" s="68"/>
      <c r="O53" t="str">
        <f t="shared" si="4"/>
        <v>321</v>
      </c>
      <c r="P53" t="str">
        <f t="shared" si="5"/>
        <v>32</v>
      </c>
      <c r="Q53" t="str">
        <f t="shared" si="6"/>
        <v>43</v>
      </c>
      <c r="R53" t="str">
        <f t="shared" si="7"/>
        <v>94</v>
      </c>
      <c r="V53">
        <v>3621</v>
      </c>
      <c r="W53" t="s">
        <v>800</v>
      </c>
      <c r="Y53" s="221" t="str">
        <f t="shared" si="11"/>
        <v>36</v>
      </c>
      <c r="Z53" t="str">
        <f t="shared" si="12"/>
        <v>362</v>
      </c>
      <c r="AB53" t="s">
        <v>801</v>
      </c>
      <c r="AC53" t="s">
        <v>802</v>
      </c>
      <c r="AD53" t="s">
        <v>803</v>
      </c>
      <c r="AE53" t="s">
        <v>804</v>
      </c>
      <c r="AF53" t="s">
        <v>644</v>
      </c>
      <c r="AG53" t="s">
        <v>805</v>
      </c>
    </row>
    <row r="54" spans="1:33">
      <c r="A54" s="64" t="str">
        <f>IF(C54="","",VLOOKUP('OPĆI DIO'!$C$3,'OPĆI DIO'!$L$6:$U$138,10,FALSE))</f>
        <v>08006</v>
      </c>
      <c r="B54" s="64" t="str">
        <f>IF(C54="","",VLOOKUP('OPĆI DIO'!$C$3,'OPĆI DIO'!$L$6:$U$138,9,FALSE))</f>
        <v>Sveučilišta i veleučilišta u Republici Hrvatskoj</v>
      </c>
      <c r="C54" s="69">
        <v>43</v>
      </c>
      <c r="D54" s="64" t="str">
        <f t="shared" si="0"/>
        <v>Ostali prihodi za posebne namjene</v>
      </c>
      <c r="E54" s="69">
        <v>3221</v>
      </c>
      <c r="F54" s="64" t="str">
        <f t="shared" si="10"/>
        <v>Uredski materijal i ostali materijalni rashodi</v>
      </c>
      <c r="G54" s="102" t="s">
        <v>703</v>
      </c>
      <c r="H54" s="64" t="str">
        <f t="shared" si="2"/>
        <v>REDOVNA DJELATNOST SVEUČILIŠTA U ZAGREBU (IZ EVIDENCIJSKIH PRIHODA)</v>
      </c>
      <c r="I54" s="64" t="str">
        <f t="shared" si="3"/>
        <v>0942</v>
      </c>
      <c r="J54" s="101">
        <f>2848+7387+892+5705+279+264+705+3221</f>
        <v>21301</v>
      </c>
      <c r="K54" s="101">
        <v>61160</v>
      </c>
      <c r="L54" s="101">
        <f>2159+5196+1347+10186+220+2751+7397</f>
        <v>29256</v>
      </c>
      <c r="M54" s="68"/>
      <c r="O54" t="str">
        <f t="shared" si="4"/>
        <v>322</v>
      </c>
      <c r="P54" t="str">
        <f t="shared" si="5"/>
        <v>32</v>
      </c>
      <c r="Q54" t="str">
        <f t="shared" si="6"/>
        <v>43</v>
      </c>
      <c r="R54" t="str">
        <f t="shared" si="7"/>
        <v>94</v>
      </c>
      <c r="V54">
        <v>3631</v>
      </c>
      <c r="W54" t="s">
        <v>806</v>
      </c>
      <c r="Y54" s="221" t="str">
        <f t="shared" si="11"/>
        <v>36</v>
      </c>
      <c r="Z54" t="str">
        <f t="shared" si="12"/>
        <v>363</v>
      </c>
      <c r="AB54" t="s">
        <v>807</v>
      </c>
      <c r="AC54" t="s">
        <v>808</v>
      </c>
      <c r="AD54" t="s">
        <v>803</v>
      </c>
      <c r="AE54" t="s">
        <v>804</v>
      </c>
      <c r="AF54" t="s">
        <v>644</v>
      </c>
      <c r="AG54" t="s">
        <v>805</v>
      </c>
    </row>
    <row r="55" spans="1:33">
      <c r="A55" s="64" t="str">
        <f>IF(C55="","",VLOOKUP('OPĆI DIO'!$C$3,'OPĆI DIO'!$L$6:$U$138,10,FALSE))</f>
        <v>08006</v>
      </c>
      <c r="B55" s="64" t="str">
        <f>IF(C55="","",VLOOKUP('OPĆI DIO'!$C$3,'OPĆI DIO'!$L$6:$U$138,9,FALSE))</f>
        <v>Sveučilišta i veleučilišta u Republici Hrvatskoj</v>
      </c>
      <c r="C55" s="69">
        <v>43</v>
      </c>
      <c r="D55" s="64" t="str">
        <f t="shared" si="0"/>
        <v>Ostali prihodi za posebne namjene</v>
      </c>
      <c r="E55" s="69">
        <v>3222</v>
      </c>
      <c r="F55" s="64" t="str">
        <f t="shared" si="10"/>
        <v>Materijal i sirovine</v>
      </c>
      <c r="G55" s="102" t="s">
        <v>703</v>
      </c>
      <c r="H55" s="64" t="str">
        <f t="shared" si="2"/>
        <v>REDOVNA DJELATNOST SVEUČILIŠTA U ZAGREBU (IZ EVIDENCIJSKIH PRIHODA)</v>
      </c>
      <c r="I55" s="64" t="str">
        <f t="shared" si="3"/>
        <v>0942</v>
      </c>
      <c r="J55" s="101">
        <v>1058</v>
      </c>
      <c r="K55" s="101">
        <v>846</v>
      </c>
      <c r="L55" s="101">
        <f>396+222</f>
        <v>618</v>
      </c>
      <c r="M55" s="68"/>
      <c r="O55" t="str">
        <f t="shared" si="4"/>
        <v>322</v>
      </c>
      <c r="P55" t="str">
        <f t="shared" si="5"/>
        <v>32</v>
      </c>
      <c r="Q55" t="str">
        <f t="shared" si="6"/>
        <v>43</v>
      </c>
      <c r="R55" t="str">
        <f t="shared" si="7"/>
        <v>94</v>
      </c>
      <c r="V55">
        <v>3632</v>
      </c>
      <c r="W55" t="s">
        <v>809</v>
      </c>
      <c r="Y55" s="221" t="str">
        <f t="shared" si="11"/>
        <v>36</v>
      </c>
      <c r="Z55" t="str">
        <f t="shared" si="12"/>
        <v>363</v>
      </c>
      <c r="AB55" t="s">
        <v>810</v>
      </c>
      <c r="AC55" t="s">
        <v>811</v>
      </c>
      <c r="AD55" t="s">
        <v>803</v>
      </c>
      <c r="AE55" t="s">
        <v>804</v>
      </c>
      <c r="AF55" t="s">
        <v>644</v>
      </c>
      <c r="AG55" t="s">
        <v>805</v>
      </c>
    </row>
    <row r="56" spans="1:33">
      <c r="A56" s="64" t="str">
        <f>IF(C56="","",VLOOKUP('OPĆI DIO'!$C$3,'OPĆI DIO'!$L$6:$U$138,10,FALSE))</f>
        <v>08006</v>
      </c>
      <c r="B56" s="64" t="str">
        <f>IF(C56="","",VLOOKUP('OPĆI DIO'!$C$3,'OPĆI DIO'!$L$6:$U$138,9,FALSE))</f>
        <v>Sveučilišta i veleučilišta u Republici Hrvatskoj</v>
      </c>
      <c r="C56" s="69">
        <v>43</v>
      </c>
      <c r="D56" s="64" t="str">
        <f t="shared" si="0"/>
        <v>Ostali prihodi za posebne namjene</v>
      </c>
      <c r="E56" s="69">
        <v>3222</v>
      </c>
      <c r="F56" s="64" t="str">
        <f t="shared" si="10"/>
        <v>Materijal i sirovine</v>
      </c>
      <c r="G56" s="102" t="s">
        <v>703</v>
      </c>
      <c r="H56" s="64" t="str">
        <f t="shared" si="2"/>
        <v>REDOVNA DJELATNOST SVEUČILIŠTA U ZAGREBU (IZ EVIDENCIJSKIH PRIHODA)</v>
      </c>
      <c r="I56" s="64" t="str">
        <f t="shared" si="3"/>
        <v>0942</v>
      </c>
      <c r="J56" s="101">
        <v>7273</v>
      </c>
      <c r="K56" s="101"/>
      <c r="L56" s="101"/>
      <c r="M56" s="68"/>
      <c r="O56" t="str">
        <f t="shared" si="4"/>
        <v>322</v>
      </c>
      <c r="P56" t="str">
        <f t="shared" si="5"/>
        <v>32</v>
      </c>
      <c r="Q56" t="str">
        <f t="shared" si="6"/>
        <v>43</v>
      </c>
      <c r="R56" t="str">
        <f t="shared" si="7"/>
        <v>94</v>
      </c>
      <c r="V56">
        <v>3661</v>
      </c>
      <c r="W56" t="s">
        <v>812</v>
      </c>
      <c r="Y56" s="221" t="str">
        <f t="shared" si="11"/>
        <v>36</v>
      </c>
      <c r="Z56" t="str">
        <f t="shared" si="12"/>
        <v>366</v>
      </c>
      <c r="AB56" t="s">
        <v>813</v>
      </c>
      <c r="AC56" t="s">
        <v>814</v>
      </c>
      <c r="AD56" t="s">
        <v>803</v>
      </c>
      <c r="AE56" t="s">
        <v>804</v>
      </c>
      <c r="AF56" t="s">
        <v>644</v>
      </c>
      <c r="AG56" t="s">
        <v>805</v>
      </c>
    </row>
    <row r="57" spans="1:33">
      <c r="A57" s="64" t="str">
        <f>IF(C57="","",VLOOKUP('OPĆI DIO'!$C$3,'OPĆI DIO'!$L$6:$U$138,10,FALSE))</f>
        <v>08006</v>
      </c>
      <c r="B57" s="64" t="str">
        <f>IF(C57="","",VLOOKUP('OPĆI DIO'!$C$3,'OPĆI DIO'!$L$6:$U$138,9,FALSE))</f>
        <v>Sveučilišta i veleučilišta u Republici Hrvatskoj</v>
      </c>
      <c r="C57" s="69">
        <v>43</v>
      </c>
      <c r="D57" s="64" t="str">
        <f t="shared" si="0"/>
        <v>Ostali prihodi za posebne namjene</v>
      </c>
      <c r="E57" s="69">
        <v>3223</v>
      </c>
      <c r="F57" s="64" t="str">
        <f t="shared" si="10"/>
        <v>Energija</v>
      </c>
      <c r="G57" s="102" t="s">
        <v>703</v>
      </c>
      <c r="H57" s="64" t="str">
        <f t="shared" si="2"/>
        <v>REDOVNA DJELATNOST SVEUČILIŠTA U ZAGREBU (IZ EVIDENCIJSKIH PRIHODA)</v>
      </c>
      <c r="I57" s="64" t="str">
        <f t="shared" si="3"/>
        <v>0942</v>
      </c>
      <c r="J57" s="101">
        <f>32478+83758+1910</f>
        <v>118146</v>
      </c>
      <c r="K57" s="101">
        <v>62668</v>
      </c>
      <c r="L57" s="101">
        <f>30746+66879+688+34947</f>
        <v>133260</v>
      </c>
      <c r="M57" s="68"/>
      <c r="O57" t="str">
        <f t="shared" si="4"/>
        <v>322</v>
      </c>
      <c r="P57" t="str">
        <f t="shared" si="5"/>
        <v>32</v>
      </c>
      <c r="Q57" t="str">
        <f t="shared" si="6"/>
        <v>43</v>
      </c>
      <c r="R57" t="str">
        <f t="shared" si="7"/>
        <v>94</v>
      </c>
      <c r="V57">
        <v>3662</v>
      </c>
      <c r="W57" t="s">
        <v>815</v>
      </c>
      <c r="Y57" s="221" t="str">
        <f t="shared" si="11"/>
        <v>36</v>
      </c>
      <c r="Z57" t="str">
        <f t="shared" si="12"/>
        <v>366</v>
      </c>
      <c r="AB57" t="s">
        <v>816</v>
      </c>
      <c r="AC57" t="s">
        <v>817</v>
      </c>
      <c r="AD57" t="s">
        <v>803</v>
      </c>
      <c r="AE57" t="s">
        <v>804</v>
      </c>
      <c r="AF57" t="s">
        <v>644</v>
      </c>
      <c r="AG57" t="s">
        <v>805</v>
      </c>
    </row>
    <row r="58" spans="1:33">
      <c r="A58" s="64" t="str">
        <f>IF(C58="","",VLOOKUP('OPĆI DIO'!$C$3,'OPĆI DIO'!$L$6:$U$138,10,FALSE))</f>
        <v>08006</v>
      </c>
      <c r="B58" s="64" t="str">
        <f>IF(C58="","",VLOOKUP('OPĆI DIO'!$C$3,'OPĆI DIO'!$L$6:$U$138,9,FALSE))</f>
        <v>Sveučilišta i veleučilišta u Republici Hrvatskoj</v>
      </c>
      <c r="C58" s="69">
        <v>43</v>
      </c>
      <c r="D58" s="64" t="str">
        <f t="shared" si="0"/>
        <v>Ostali prihodi za posebne namjene</v>
      </c>
      <c r="E58" s="69">
        <v>3224</v>
      </c>
      <c r="F58" s="64" t="str">
        <f t="shared" si="10"/>
        <v>Materijal i dijelovi za tekuće i investicijsko održavanje</v>
      </c>
      <c r="G58" s="102" t="s">
        <v>703</v>
      </c>
      <c r="H58" s="64" t="str">
        <f t="shared" si="2"/>
        <v>REDOVNA DJELATNOST SVEUČILIŠTA U ZAGREBU (IZ EVIDENCIJSKIH PRIHODA)</v>
      </c>
      <c r="I58" s="64" t="str">
        <f t="shared" si="3"/>
        <v>0942</v>
      </c>
      <c r="J58" s="101">
        <f>2641+8281+2485</f>
        <v>13407</v>
      </c>
      <c r="K58" s="101">
        <v>13936</v>
      </c>
      <c r="L58" s="101">
        <f>3661+5929+550</f>
        <v>10140</v>
      </c>
      <c r="M58" s="68"/>
      <c r="O58" t="str">
        <f t="shared" si="4"/>
        <v>322</v>
      </c>
      <c r="P58" t="str">
        <f t="shared" si="5"/>
        <v>32</v>
      </c>
      <c r="Q58" t="str">
        <f t="shared" si="6"/>
        <v>43</v>
      </c>
      <c r="R58" t="str">
        <f t="shared" si="7"/>
        <v>94</v>
      </c>
      <c r="V58">
        <v>3681</v>
      </c>
      <c r="W58" t="s">
        <v>818</v>
      </c>
      <c r="Y58" s="221" t="str">
        <f t="shared" si="11"/>
        <v>36</v>
      </c>
      <c r="Z58" t="str">
        <f t="shared" si="12"/>
        <v>368</v>
      </c>
      <c r="AB58" t="s">
        <v>819</v>
      </c>
      <c r="AC58" t="s">
        <v>820</v>
      </c>
      <c r="AD58" t="s">
        <v>803</v>
      </c>
      <c r="AE58" t="s">
        <v>804</v>
      </c>
      <c r="AF58" t="s">
        <v>644</v>
      </c>
      <c r="AG58" t="s">
        <v>805</v>
      </c>
    </row>
    <row r="59" spans="1:33">
      <c r="A59" s="64" t="str">
        <f>IF(C59="","",VLOOKUP('OPĆI DIO'!$C$3,'OPĆI DIO'!$L$6:$U$138,10,FALSE))</f>
        <v>08006</v>
      </c>
      <c r="B59" s="64" t="str">
        <f>IF(C59="","",VLOOKUP('OPĆI DIO'!$C$3,'OPĆI DIO'!$L$6:$U$138,9,FALSE))</f>
        <v>Sveučilišta i veleučilišta u Republici Hrvatskoj</v>
      </c>
      <c r="C59" s="69">
        <v>43</v>
      </c>
      <c r="D59" s="64" t="str">
        <f t="shared" si="0"/>
        <v>Ostali prihodi za posebne namjene</v>
      </c>
      <c r="E59" s="69">
        <v>3225</v>
      </c>
      <c r="F59" s="64" t="str">
        <f t="shared" si="10"/>
        <v>Sitni inventar i auto gume</v>
      </c>
      <c r="G59" s="102" t="s">
        <v>703</v>
      </c>
      <c r="H59" s="64" t="str">
        <f t="shared" si="2"/>
        <v>REDOVNA DJELATNOST SVEUČILIŠTA U ZAGREBU (IZ EVIDENCIJSKIH PRIHODA)</v>
      </c>
      <c r="I59" s="64" t="str">
        <f t="shared" si="3"/>
        <v>0942</v>
      </c>
      <c r="J59" s="101">
        <v>4020</v>
      </c>
      <c r="K59" s="101">
        <v>6636</v>
      </c>
      <c r="L59" s="101">
        <v>4446</v>
      </c>
      <c r="M59" s="68"/>
      <c r="O59" t="str">
        <f t="shared" si="4"/>
        <v>322</v>
      </c>
      <c r="P59" t="str">
        <f t="shared" si="5"/>
        <v>32</v>
      </c>
      <c r="Q59" t="str">
        <f t="shared" si="6"/>
        <v>43</v>
      </c>
      <c r="R59" t="str">
        <f t="shared" si="7"/>
        <v>94</v>
      </c>
      <c r="V59">
        <v>3682</v>
      </c>
      <c r="W59" t="s">
        <v>821</v>
      </c>
      <c r="Y59" s="221" t="str">
        <f t="shared" si="11"/>
        <v>36</v>
      </c>
      <c r="Z59" t="str">
        <f t="shared" si="12"/>
        <v>368</v>
      </c>
      <c r="AB59" t="s">
        <v>822</v>
      </c>
      <c r="AC59" t="s">
        <v>823</v>
      </c>
      <c r="AD59" t="s">
        <v>803</v>
      </c>
      <c r="AE59" t="s">
        <v>804</v>
      </c>
      <c r="AF59" t="s">
        <v>644</v>
      </c>
      <c r="AG59" t="s">
        <v>805</v>
      </c>
    </row>
    <row r="60" spans="1:33">
      <c r="A60" s="64" t="str">
        <f>IF(C60="","",VLOOKUP('OPĆI DIO'!$C$3,'OPĆI DIO'!$L$6:$U$138,10,FALSE))</f>
        <v>08006</v>
      </c>
      <c r="B60" s="64" t="str">
        <f>IF(C60="","",VLOOKUP('OPĆI DIO'!$C$3,'OPĆI DIO'!$L$6:$U$138,9,FALSE))</f>
        <v>Sveučilišta i veleučilišta u Republici Hrvatskoj</v>
      </c>
      <c r="C60" s="69">
        <v>43</v>
      </c>
      <c r="D60" s="64" t="str">
        <f t="shared" si="0"/>
        <v>Ostali prihodi za posebne namjene</v>
      </c>
      <c r="E60" s="69">
        <v>3227</v>
      </c>
      <c r="F60" s="64" t="str">
        <f t="shared" si="10"/>
        <v>Službena, radna i zaštitna odjeća i obuća</v>
      </c>
      <c r="G60" s="102" t="s">
        <v>703</v>
      </c>
      <c r="H60" s="64" t="str">
        <f t="shared" si="2"/>
        <v>REDOVNA DJELATNOST SVEUČILIŠTA U ZAGREBU (IZ EVIDENCIJSKIH PRIHODA)</v>
      </c>
      <c r="I60" s="64" t="str">
        <f t="shared" si="3"/>
        <v>0942</v>
      </c>
      <c r="J60" s="101">
        <v>496</v>
      </c>
      <c r="K60" s="101"/>
      <c r="L60" s="101">
        <f>21673</f>
        <v>21673</v>
      </c>
      <c r="M60" s="68"/>
      <c r="O60" t="str">
        <f t="shared" si="4"/>
        <v>322</v>
      </c>
      <c r="P60" t="str">
        <f t="shared" si="5"/>
        <v>32</v>
      </c>
      <c r="Q60" t="str">
        <f t="shared" si="6"/>
        <v>43</v>
      </c>
      <c r="R60" t="str">
        <f t="shared" si="7"/>
        <v>94</v>
      </c>
      <c r="V60">
        <v>3691</v>
      </c>
      <c r="W60" t="s">
        <v>824</v>
      </c>
      <c r="Y60" s="221" t="str">
        <f t="shared" si="11"/>
        <v>36</v>
      </c>
      <c r="Z60" t="str">
        <f t="shared" si="12"/>
        <v>369</v>
      </c>
      <c r="AB60" t="s">
        <v>825</v>
      </c>
      <c r="AC60" t="s">
        <v>826</v>
      </c>
      <c r="AD60" t="s">
        <v>803</v>
      </c>
      <c r="AE60" t="s">
        <v>804</v>
      </c>
      <c r="AF60" t="s">
        <v>644</v>
      </c>
      <c r="AG60" t="s">
        <v>805</v>
      </c>
    </row>
    <row r="61" spans="1:33">
      <c r="A61" s="64" t="str">
        <f>IF(C61="","",VLOOKUP('OPĆI DIO'!$C$3,'OPĆI DIO'!$L$6:$U$138,10,FALSE))</f>
        <v>08006</v>
      </c>
      <c r="B61" s="64" t="str">
        <f>IF(C61="","",VLOOKUP('OPĆI DIO'!$C$3,'OPĆI DIO'!$L$6:$U$138,9,FALSE))</f>
        <v>Sveučilišta i veleučilišta u Republici Hrvatskoj</v>
      </c>
      <c r="C61" s="69">
        <v>43</v>
      </c>
      <c r="D61" s="64" t="str">
        <f t="shared" si="0"/>
        <v>Ostali prihodi za posebne namjene</v>
      </c>
      <c r="E61" s="69">
        <v>3231</v>
      </c>
      <c r="F61" s="64" t="str">
        <f t="shared" si="10"/>
        <v>Usluge telefona, pošte i prijevoza</v>
      </c>
      <c r="G61" s="102" t="s">
        <v>703</v>
      </c>
      <c r="H61" s="64" t="str">
        <f t="shared" si="2"/>
        <v>REDOVNA DJELATNOST SVEUČILIŠTA U ZAGREBU (IZ EVIDENCIJSKIH PRIHODA)</v>
      </c>
      <c r="I61" s="64" t="str">
        <f t="shared" si="3"/>
        <v>0942</v>
      </c>
      <c r="J61" s="101">
        <f>7550+2230+16+10204</f>
        <v>20000</v>
      </c>
      <c r="K61" s="101">
        <v>35057</v>
      </c>
      <c r="L61" s="101">
        <f>6582+177+833+390+22639</f>
        <v>30621</v>
      </c>
      <c r="M61" s="68"/>
      <c r="O61" t="str">
        <f t="shared" si="4"/>
        <v>323</v>
      </c>
      <c r="P61" t="str">
        <f t="shared" si="5"/>
        <v>32</v>
      </c>
      <c r="Q61" t="str">
        <f t="shared" si="6"/>
        <v>43</v>
      </c>
      <c r="R61" t="str">
        <f t="shared" si="7"/>
        <v>94</v>
      </c>
      <c r="V61">
        <v>3692</v>
      </c>
      <c r="W61" t="s">
        <v>827</v>
      </c>
      <c r="Y61" s="221" t="str">
        <f t="shared" si="11"/>
        <v>36</v>
      </c>
      <c r="Z61" t="str">
        <f t="shared" si="12"/>
        <v>369</v>
      </c>
      <c r="AB61" t="s">
        <v>828</v>
      </c>
      <c r="AC61" t="s">
        <v>829</v>
      </c>
      <c r="AD61" t="s">
        <v>803</v>
      </c>
      <c r="AE61" t="s">
        <v>804</v>
      </c>
      <c r="AF61" t="s">
        <v>644</v>
      </c>
      <c r="AG61" t="s">
        <v>805</v>
      </c>
    </row>
    <row r="62" spans="1:33">
      <c r="A62" s="64" t="str">
        <f>IF(C62="","",VLOOKUP('OPĆI DIO'!$C$3,'OPĆI DIO'!$L$6:$U$138,10,FALSE))</f>
        <v>08006</v>
      </c>
      <c r="B62" s="64" t="str">
        <f>IF(C62="","",VLOOKUP('OPĆI DIO'!$C$3,'OPĆI DIO'!$L$6:$U$138,9,FALSE))</f>
        <v>Sveučilišta i veleučilišta u Republici Hrvatskoj</v>
      </c>
      <c r="C62" s="69">
        <v>43</v>
      </c>
      <c r="D62" s="64" t="str">
        <f t="shared" si="0"/>
        <v>Ostali prihodi za posebne namjene</v>
      </c>
      <c r="E62" s="69">
        <v>3232</v>
      </c>
      <c r="F62" s="64" t="str">
        <f t="shared" si="10"/>
        <v>Usluge tekućeg i investicijskog održavanja</v>
      </c>
      <c r="G62" s="102" t="s">
        <v>703</v>
      </c>
      <c r="H62" s="64" t="str">
        <f t="shared" si="2"/>
        <v>REDOVNA DJELATNOST SVEUČILIŠTA U ZAGREBU (IZ EVIDENCIJSKIH PRIHODA)</v>
      </c>
      <c r="I62" s="64" t="str">
        <f t="shared" si="3"/>
        <v>0942</v>
      </c>
      <c r="J62" s="101">
        <f>3357+13995+1266</f>
        <v>18618</v>
      </c>
      <c r="K62" s="101">
        <v>16590</v>
      </c>
      <c r="L62" s="101">
        <f>1367+13540+9502</f>
        <v>24409</v>
      </c>
      <c r="M62" s="68"/>
      <c r="O62" t="str">
        <f t="shared" si="4"/>
        <v>323</v>
      </c>
      <c r="P62" t="str">
        <f t="shared" si="5"/>
        <v>32</v>
      </c>
      <c r="Q62" t="str">
        <f t="shared" si="6"/>
        <v>43</v>
      </c>
      <c r="R62" t="str">
        <f t="shared" si="7"/>
        <v>94</v>
      </c>
      <c r="V62">
        <v>3693</v>
      </c>
      <c r="W62" t="s">
        <v>824</v>
      </c>
      <c r="Y62" s="221" t="str">
        <f t="shared" si="11"/>
        <v>36</v>
      </c>
      <c r="Z62" t="str">
        <f t="shared" si="12"/>
        <v>369</v>
      </c>
      <c r="AB62" t="s">
        <v>830</v>
      </c>
      <c r="AC62" t="s">
        <v>831</v>
      </c>
      <c r="AD62" t="s">
        <v>677</v>
      </c>
      <c r="AE62" t="s">
        <v>678</v>
      </c>
      <c r="AF62" t="s">
        <v>644</v>
      </c>
      <c r="AG62" t="s">
        <v>679</v>
      </c>
    </row>
    <row r="63" spans="1:33">
      <c r="A63" s="64" t="str">
        <f>IF(C63="","",VLOOKUP('OPĆI DIO'!$C$3,'OPĆI DIO'!$L$6:$U$138,10,FALSE))</f>
        <v>08006</v>
      </c>
      <c r="B63" s="64" t="str">
        <f>IF(C63="","",VLOOKUP('OPĆI DIO'!$C$3,'OPĆI DIO'!$L$6:$U$138,9,FALSE))</f>
        <v>Sveučilišta i veleučilišta u Republici Hrvatskoj</v>
      </c>
      <c r="C63" s="69">
        <v>43</v>
      </c>
      <c r="D63" s="64" t="str">
        <f t="shared" si="0"/>
        <v>Ostali prihodi za posebne namjene</v>
      </c>
      <c r="E63" s="69">
        <v>3233</v>
      </c>
      <c r="F63" s="64" t="str">
        <f t="shared" si="10"/>
        <v>Usluge promidžbe i informiranja</v>
      </c>
      <c r="G63" s="102" t="s">
        <v>703</v>
      </c>
      <c r="H63" s="64" t="str">
        <f t="shared" si="2"/>
        <v>REDOVNA DJELATNOST SVEUČILIŠTA U ZAGREBU (IZ EVIDENCIJSKIH PRIHODA)</v>
      </c>
      <c r="I63" s="64" t="str">
        <f t="shared" si="3"/>
        <v>0942</v>
      </c>
      <c r="J63" s="101">
        <f>8553+5712+4452</f>
        <v>18717</v>
      </c>
      <c r="K63" s="101">
        <v>34906</v>
      </c>
      <c r="L63" s="101">
        <f>10575+3677+5233+5919</f>
        <v>25404</v>
      </c>
      <c r="M63" s="68"/>
      <c r="O63" t="str">
        <f t="shared" si="4"/>
        <v>323</v>
      </c>
      <c r="P63" t="str">
        <f t="shared" si="5"/>
        <v>32</v>
      </c>
      <c r="Q63" t="str">
        <f t="shared" si="6"/>
        <v>43</v>
      </c>
      <c r="R63" t="str">
        <f t="shared" si="7"/>
        <v>94</v>
      </c>
      <c r="V63">
        <v>3694</v>
      </c>
      <c r="W63" t="s">
        <v>827</v>
      </c>
      <c r="Y63" s="221" t="str">
        <f t="shared" si="11"/>
        <v>36</v>
      </c>
      <c r="Z63" t="str">
        <f t="shared" si="12"/>
        <v>369</v>
      </c>
      <c r="AB63" t="s">
        <v>832</v>
      </c>
      <c r="AC63" t="s">
        <v>833</v>
      </c>
      <c r="AD63" t="s">
        <v>677</v>
      </c>
      <c r="AE63" t="s">
        <v>678</v>
      </c>
      <c r="AF63" t="s">
        <v>644</v>
      </c>
      <c r="AG63" t="s">
        <v>679</v>
      </c>
    </row>
    <row r="64" spans="1:33">
      <c r="A64" s="64" t="str">
        <f>IF(C64="","",VLOOKUP('OPĆI DIO'!$C$3,'OPĆI DIO'!$L$6:$U$138,10,FALSE))</f>
        <v>08006</v>
      </c>
      <c r="B64" s="64" t="str">
        <f>IF(C64="","",VLOOKUP('OPĆI DIO'!$C$3,'OPĆI DIO'!$L$6:$U$138,9,FALSE))</f>
        <v>Sveučilišta i veleučilišta u Republici Hrvatskoj</v>
      </c>
      <c r="C64" s="69">
        <v>43</v>
      </c>
      <c r="D64" s="64" t="str">
        <f t="shared" si="0"/>
        <v>Ostali prihodi za posebne namjene</v>
      </c>
      <c r="E64" s="69">
        <v>3234</v>
      </c>
      <c r="F64" s="64" t="str">
        <f t="shared" si="10"/>
        <v>Komunalne usluge</v>
      </c>
      <c r="G64" s="102" t="s">
        <v>703</v>
      </c>
      <c r="H64" s="64" t="str">
        <f t="shared" si="2"/>
        <v>REDOVNA DJELATNOST SVEUČILIŠTA U ZAGREBU (IZ EVIDENCIJSKIH PRIHODA)</v>
      </c>
      <c r="I64" s="64" t="str">
        <f t="shared" si="3"/>
        <v>0942</v>
      </c>
      <c r="J64" s="101">
        <f>8807+3848+2182+299</f>
        <v>15136</v>
      </c>
      <c r="K64" s="101">
        <v>33181</v>
      </c>
      <c r="L64" s="101">
        <f>9730+2309+1976+791</f>
        <v>14806</v>
      </c>
      <c r="M64" s="68"/>
      <c r="O64" t="str">
        <f t="shared" si="4"/>
        <v>323</v>
      </c>
      <c r="P64" t="str">
        <f t="shared" si="5"/>
        <v>32</v>
      </c>
      <c r="Q64" t="str">
        <f t="shared" si="6"/>
        <v>43</v>
      </c>
      <c r="R64" t="str">
        <f t="shared" si="7"/>
        <v>94</v>
      </c>
      <c r="V64">
        <v>3711</v>
      </c>
      <c r="W64" t="s">
        <v>834</v>
      </c>
      <c r="Y64" s="221" t="str">
        <f t="shared" si="11"/>
        <v>37</v>
      </c>
      <c r="Z64" t="str">
        <f t="shared" si="12"/>
        <v>371</v>
      </c>
      <c r="AB64" t="s">
        <v>835</v>
      </c>
      <c r="AC64" t="s">
        <v>836</v>
      </c>
      <c r="AD64" t="s">
        <v>677</v>
      </c>
      <c r="AE64" t="s">
        <v>678</v>
      </c>
      <c r="AF64" t="s">
        <v>644</v>
      </c>
      <c r="AG64" t="s">
        <v>679</v>
      </c>
    </row>
    <row r="65" spans="1:33">
      <c r="A65" s="64" t="str">
        <f>IF(C65="","",VLOOKUP('OPĆI DIO'!$C$3,'OPĆI DIO'!$L$6:$U$138,10,FALSE))</f>
        <v>08006</v>
      </c>
      <c r="B65" s="64" t="str">
        <f>IF(C65="","",VLOOKUP('OPĆI DIO'!$C$3,'OPĆI DIO'!$L$6:$U$138,9,FALSE))</f>
        <v>Sveučilišta i veleučilišta u Republici Hrvatskoj</v>
      </c>
      <c r="C65" s="69">
        <v>43</v>
      </c>
      <c r="D65" s="64" t="str">
        <f t="shared" si="0"/>
        <v>Ostali prihodi za posebne namjene</v>
      </c>
      <c r="E65" s="69">
        <v>3235</v>
      </c>
      <c r="F65" s="64" t="str">
        <f t="shared" si="10"/>
        <v>Zakupnine i najamnine</v>
      </c>
      <c r="G65" s="102" t="s">
        <v>703</v>
      </c>
      <c r="H65" s="64" t="str">
        <f t="shared" si="2"/>
        <v>REDOVNA DJELATNOST SVEUČILIŠTA U ZAGREBU (IZ EVIDENCIJSKIH PRIHODA)</v>
      </c>
      <c r="I65" s="64" t="str">
        <f t="shared" si="3"/>
        <v>0942</v>
      </c>
      <c r="J65" s="101">
        <f>1049+15439+3192+1859+1301+702+6208</f>
        <v>29750</v>
      </c>
      <c r="K65" s="101">
        <v>92395</v>
      </c>
      <c r="L65" s="101">
        <f>612+12759+1079+1859+2084+2126+1067+1013+3752</f>
        <v>26351</v>
      </c>
      <c r="M65" s="68"/>
      <c r="O65" t="str">
        <f t="shared" si="4"/>
        <v>323</v>
      </c>
      <c r="P65" t="str">
        <f t="shared" si="5"/>
        <v>32</v>
      </c>
      <c r="Q65" t="str">
        <f t="shared" si="6"/>
        <v>43</v>
      </c>
      <c r="R65" t="str">
        <f t="shared" si="7"/>
        <v>94</v>
      </c>
      <c r="V65">
        <v>3712</v>
      </c>
      <c r="W65" t="s">
        <v>837</v>
      </c>
      <c r="Y65" s="221" t="str">
        <f t="shared" si="11"/>
        <v>37</v>
      </c>
      <c r="Z65" t="str">
        <f t="shared" si="12"/>
        <v>371</v>
      </c>
      <c r="AB65" t="s">
        <v>838</v>
      </c>
      <c r="AC65" t="s">
        <v>839</v>
      </c>
      <c r="AD65" t="s">
        <v>803</v>
      </c>
      <c r="AE65" t="s">
        <v>804</v>
      </c>
      <c r="AF65" t="s">
        <v>644</v>
      </c>
      <c r="AG65" t="s">
        <v>805</v>
      </c>
    </row>
    <row r="66" spans="1:33">
      <c r="A66" s="64" t="str">
        <f>IF(C66="","",VLOOKUP('OPĆI DIO'!$C$3,'OPĆI DIO'!$L$6:$U$138,10,FALSE))</f>
        <v>08006</v>
      </c>
      <c r="B66" s="64" t="str">
        <f>IF(C66="","",VLOOKUP('OPĆI DIO'!$C$3,'OPĆI DIO'!$L$6:$U$138,9,FALSE))</f>
        <v>Sveučilišta i veleučilišta u Republici Hrvatskoj</v>
      </c>
      <c r="C66" s="69">
        <v>43</v>
      </c>
      <c r="D66" s="64" t="str">
        <f t="shared" si="0"/>
        <v>Ostali prihodi za posebne namjene</v>
      </c>
      <c r="E66" s="69">
        <v>3236</v>
      </c>
      <c r="F66" s="64" t="str">
        <f t="shared" si="10"/>
        <v>Zdravstvene i veterinarske usluge</v>
      </c>
      <c r="G66" s="102" t="s">
        <v>703</v>
      </c>
      <c r="H66" s="64" t="str">
        <f t="shared" si="2"/>
        <v>REDOVNA DJELATNOST SVEUČILIŠTA U ZAGREBU (IZ EVIDENCIJSKIH PRIHODA)</v>
      </c>
      <c r="I66" s="64" t="str">
        <f t="shared" si="3"/>
        <v>0942</v>
      </c>
      <c r="J66" s="101">
        <v>2701</v>
      </c>
      <c r="K66" s="101">
        <v>23471</v>
      </c>
      <c r="L66" s="101"/>
      <c r="M66" s="68"/>
      <c r="O66" t="str">
        <f t="shared" si="4"/>
        <v>323</v>
      </c>
      <c r="P66" t="str">
        <f t="shared" si="5"/>
        <v>32</v>
      </c>
      <c r="Q66" t="str">
        <f t="shared" si="6"/>
        <v>43</v>
      </c>
      <c r="R66" t="str">
        <f t="shared" si="7"/>
        <v>94</v>
      </c>
      <c r="V66">
        <v>3713</v>
      </c>
      <c r="W66" t="s">
        <v>840</v>
      </c>
      <c r="Y66" s="221" t="str">
        <f t="shared" si="11"/>
        <v>37</v>
      </c>
      <c r="Z66" t="str">
        <f t="shared" si="12"/>
        <v>371</v>
      </c>
      <c r="AB66" t="s">
        <v>841</v>
      </c>
      <c r="AC66" t="s">
        <v>842</v>
      </c>
      <c r="AD66" t="s">
        <v>677</v>
      </c>
      <c r="AE66" t="s">
        <v>678</v>
      </c>
      <c r="AF66" t="s">
        <v>644</v>
      </c>
      <c r="AG66" t="s">
        <v>679</v>
      </c>
    </row>
    <row r="67" spans="1:33">
      <c r="A67" s="64" t="str">
        <f>IF(C67="","",VLOOKUP('OPĆI DIO'!$C$3,'OPĆI DIO'!$L$6:$U$138,10,FALSE))</f>
        <v>08006</v>
      </c>
      <c r="B67" s="64" t="str">
        <f>IF(C67="","",VLOOKUP('OPĆI DIO'!$C$3,'OPĆI DIO'!$L$6:$U$138,9,FALSE))</f>
        <v>Sveučilišta i veleučilišta u Republici Hrvatskoj</v>
      </c>
      <c r="C67" s="69">
        <v>43</v>
      </c>
      <c r="D67" s="64" t="str">
        <f t="shared" ref="D67:D130" si="13">IFERROR(VLOOKUP(C67,$S$6:$T$24,2,FALSE),"")</f>
        <v>Ostali prihodi za posebne namjene</v>
      </c>
      <c r="E67" s="69">
        <v>3237</v>
      </c>
      <c r="F67" s="64" t="str">
        <f t="shared" si="10"/>
        <v>Intelektualne i osobne usluge</v>
      </c>
      <c r="G67" s="102" t="s">
        <v>703</v>
      </c>
      <c r="H67" s="64" t="str">
        <f t="shared" ref="H67:H130" si="14">IFERROR(VLOOKUP(G67,$AB$6:$AC$324,2,FALSE),"")</f>
        <v>REDOVNA DJELATNOST SVEUČILIŠTA U ZAGREBU (IZ EVIDENCIJSKIH PRIHODA)</v>
      </c>
      <c r="I67" s="64" t="str">
        <f t="shared" ref="I67:I130" si="15">IFERROR(VLOOKUP(G67,$AB$6:$AF$324,3,FALSE),"")</f>
        <v>0942</v>
      </c>
      <c r="J67" s="101">
        <f>1728+46628+14071+6756+5067+1680+2737+23936+7926+796+17953+11729+16590-3424-11729-16590</f>
        <v>125854</v>
      </c>
      <c r="K67" s="101">
        <v>311527</v>
      </c>
      <c r="L67" s="101">
        <f>3456+36404+10895+5374+4031+2800+3899+33488+4430</f>
        <v>104777</v>
      </c>
      <c r="M67" s="68"/>
      <c r="O67" t="str">
        <f t="shared" si="4"/>
        <v>323</v>
      </c>
      <c r="P67" t="str">
        <f t="shared" si="5"/>
        <v>32</v>
      </c>
      <c r="Q67" t="str">
        <f t="shared" si="6"/>
        <v>43</v>
      </c>
      <c r="R67" t="str">
        <f t="shared" si="7"/>
        <v>94</v>
      </c>
      <c r="V67">
        <v>3714</v>
      </c>
      <c r="W67" t="s">
        <v>843</v>
      </c>
      <c r="Y67" s="221" t="str">
        <f t="shared" si="11"/>
        <v>37</v>
      </c>
      <c r="Z67" t="str">
        <f t="shared" si="12"/>
        <v>371</v>
      </c>
      <c r="AB67" t="s">
        <v>844</v>
      </c>
      <c r="AC67" t="s">
        <v>845</v>
      </c>
      <c r="AD67" t="s">
        <v>649</v>
      </c>
      <c r="AE67" t="s">
        <v>650</v>
      </c>
      <c r="AF67" t="s">
        <v>651</v>
      </c>
      <c r="AG67" t="s">
        <v>652</v>
      </c>
    </row>
    <row r="68" spans="1:33">
      <c r="A68" s="64" t="str">
        <f>IF(C68="","",VLOOKUP('OPĆI DIO'!$C$3,'OPĆI DIO'!$L$6:$U$138,10,FALSE))</f>
        <v>08006</v>
      </c>
      <c r="B68" s="64" t="str">
        <f>IF(C68="","",VLOOKUP('OPĆI DIO'!$C$3,'OPĆI DIO'!$L$6:$U$138,9,FALSE))</f>
        <v>Sveučilišta i veleučilišta u Republici Hrvatskoj</v>
      </c>
      <c r="C68" s="69">
        <v>43</v>
      </c>
      <c r="D68" s="64" t="str">
        <f t="shared" si="13"/>
        <v>Ostali prihodi za posebne namjene</v>
      </c>
      <c r="E68" s="69">
        <v>3238</v>
      </c>
      <c r="F68" s="64" t="str">
        <f t="shared" si="10"/>
        <v>Računalne usluge</v>
      </c>
      <c r="G68" s="102" t="s">
        <v>703</v>
      </c>
      <c r="H68" s="64" t="str">
        <f t="shared" si="14"/>
        <v>REDOVNA DJELATNOST SVEUČILIŠTA U ZAGREBU (IZ EVIDENCIJSKIH PRIHODA)</v>
      </c>
      <c r="I68" s="64" t="str">
        <f t="shared" si="15"/>
        <v>0942</v>
      </c>
      <c r="J68" s="101">
        <f>11969+3369+792</f>
        <v>16130</v>
      </c>
      <c r="K68" s="101">
        <v>39601</v>
      </c>
      <c r="L68" s="101">
        <f>11659+1686</f>
        <v>13345</v>
      </c>
      <c r="M68" s="68"/>
      <c r="O68" t="str">
        <f t="shared" ref="O68:O128" si="16">LEFT(E68,3)</f>
        <v>323</v>
      </c>
      <c r="P68" t="str">
        <f t="shared" ref="P68:P128" si="17">LEFT(E68,2)</f>
        <v>32</v>
      </c>
      <c r="Q68" t="str">
        <f t="shared" ref="Q68:Q128" si="18">LEFT(C68,3)</f>
        <v>43</v>
      </c>
      <c r="R68" t="str">
        <f t="shared" ref="R68:R128" si="19">MID(I68,2,2)</f>
        <v>94</v>
      </c>
      <c r="V68">
        <v>3715</v>
      </c>
      <c r="W68" t="s">
        <v>846</v>
      </c>
      <c r="Y68" s="221" t="str">
        <f t="shared" si="11"/>
        <v>37</v>
      </c>
      <c r="Z68" t="str">
        <f t="shared" si="12"/>
        <v>371</v>
      </c>
      <c r="AB68" t="s">
        <v>847</v>
      </c>
      <c r="AC68" t="s">
        <v>848</v>
      </c>
      <c r="AD68" t="s">
        <v>649</v>
      </c>
      <c r="AE68" t="s">
        <v>650</v>
      </c>
      <c r="AF68" t="s">
        <v>651</v>
      </c>
      <c r="AG68" t="s">
        <v>652</v>
      </c>
    </row>
    <row r="69" spans="1:33">
      <c r="A69" s="64" t="str">
        <f>IF(C69="","",VLOOKUP('OPĆI DIO'!$C$3,'OPĆI DIO'!$L$6:$U$138,10,FALSE))</f>
        <v>08006</v>
      </c>
      <c r="B69" s="64" t="str">
        <f>IF(C69="","",VLOOKUP('OPĆI DIO'!$C$3,'OPĆI DIO'!$L$6:$U$138,9,FALSE))</f>
        <v>Sveučilišta i veleučilišta u Republici Hrvatskoj</v>
      </c>
      <c r="C69" s="69">
        <v>43</v>
      </c>
      <c r="D69" s="64" t="str">
        <f t="shared" si="13"/>
        <v>Ostali prihodi za posebne namjene</v>
      </c>
      <c r="E69" s="69">
        <v>3239</v>
      </c>
      <c r="F69" s="64" t="str">
        <f t="shared" si="10"/>
        <v>Ostale usluge</v>
      </c>
      <c r="G69" s="102" t="s">
        <v>703</v>
      </c>
      <c r="H69" s="64" t="str">
        <f t="shared" si="14"/>
        <v>REDOVNA DJELATNOST SVEUČILIŠTA U ZAGREBU (IZ EVIDENCIJSKIH PRIHODA)</v>
      </c>
      <c r="I69" s="64" t="str">
        <f t="shared" si="15"/>
        <v>0942</v>
      </c>
      <c r="J69" s="101">
        <f>1519+3311+664+119+2997+27836+3158</f>
        <v>39604</v>
      </c>
      <c r="K69" s="101">
        <v>54149</v>
      </c>
      <c r="L69" s="101">
        <f>4760+2519+5396+788+95+1995+26653+10166+4947</f>
        <v>57319</v>
      </c>
      <c r="M69" s="68"/>
      <c r="O69" t="str">
        <f t="shared" si="16"/>
        <v>323</v>
      </c>
      <c r="P69" t="str">
        <f t="shared" si="17"/>
        <v>32</v>
      </c>
      <c r="Q69" t="str">
        <f t="shared" si="18"/>
        <v>43</v>
      </c>
      <c r="R69" t="str">
        <f t="shared" si="19"/>
        <v>94</v>
      </c>
      <c r="V69">
        <v>3721</v>
      </c>
      <c r="W69" t="s">
        <v>849</v>
      </c>
      <c r="Y69" s="221" t="str">
        <f t="shared" si="11"/>
        <v>37</v>
      </c>
      <c r="Z69" t="str">
        <f t="shared" si="12"/>
        <v>372</v>
      </c>
      <c r="AB69" t="s">
        <v>850</v>
      </c>
      <c r="AC69" t="s">
        <v>851</v>
      </c>
      <c r="AD69" t="s">
        <v>649</v>
      </c>
      <c r="AE69" t="s">
        <v>650</v>
      </c>
      <c r="AF69" t="s">
        <v>651</v>
      </c>
      <c r="AG69" t="s">
        <v>652</v>
      </c>
    </row>
    <row r="70" spans="1:33">
      <c r="A70" s="64" t="str">
        <f>IF(C70="","",VLOOKUP('OPĆI DIO'!$C$3,'OPĆI DIO'!$L$6:$U$138,10,FALSE))</f>
        <v>08006</v>
      </c>
      <c r="B70" s="64" t="str">
        <f>IF(C70="","",VLOOKUP('OPĆI DIO'!$C$3,'OPĆI DIO'!$L$6:$U$138,9,FALSE))</f>
        <v>Sveučilišta i veleučilišta u Republici Hrvatskoj</v>
      </c>
      <c r="C70" s="69">
        <v>43</v>
      </c>
      <c r="D70" s="64" t="str">
        <f t="shared" si="13"/>
        <v>Ostali prihodi za posebne namjene</v>
      </c>
      <c r="E70" s="69">
        <v>3241</v>
      </c>
      <c r="F70" s="64" t="str">
        <f t="shared" si="10"/>
        <v>Naknade troškova osobama izvan radnog odnosa</v>
      </c>
      <c r="G70" s="102" t="s">
        <v>703</v>
      </c>
      <c r="H70" s="64" t="str">
        <f t="shared" si="14"/>
        <v>REDOVNA DJELATNOST SVEUČILIŠTA U ZAGREBU (IZ EVIDENCIJSKIH PRIHODA)</v>
      </c>
      <c r="I70" s="64" t="str">
        <f t="shared" si="15"/>
        <v>0942</v>
      </c>
      <c r="J70" s="101">
        <f>5687+469</f>
        <v>6156</v>
      </c>
      <c r="K70" s="101">
        <v>62190</v>
      </c>
      <c r="L70" s="101">
        <f>24891+10844</f>
        <v>35735</v>
      </c>
      <c r="M70" s="68"/>
      <c r="O70" t="str">
        <f t="shared" si="16"/>
        <v>324</v>
      </c>
      <c r="P70" t="str">
        <f t="shared" si="17"/>
        <v>32</v>
      </c>
      <c r="Q70" t="str">
        <f t="shared" si="18"/>
        <v>43</v>
      </c>
      <c r="R70" t="str">
        <f t="shared" si="19"/>
        <v>94</v>
      </c>
      <c r="V70">
        <v>3722</v>
      </c>
      <c r="W70" t="s">
        <v>852</v>
      </c>
      <c r="Y70" s="221" t="str">
        <f t="shared" si="11"/>
        <v>37</v>
      </c>
      <c r="Z70" t="str">
        <f t="shared" si="12"/>
        <v>372</v>
      </c>
      <c r="AB70" t="s">
        <v>853</v>
      </c>
      <c r="AC70" t="s">
        <v>854</v>
      </c>
      <c r="AD70" t="s">
        <v>649</v>
      </c>
      <c r="AE70" t="s">
        <v>650</v>
      </c>
      <c r="AF70" t="s">
        <v>651</v>
      </c>
      <c r="AG70" t="s">
        <v>652</v>
      </c>
    </row>
    <row r="71" spans="1:33">
      <c r="A71" s="64" t="str">
        <f>IF(C71="","",VLOOKUP('OPĆI DIO'!$C$3,'OPĆI DIO'!$L$6:$U$138,10,FALSE))</f>
        <v>08006</v>
      </c>
      <c r="B71" s="64" t="str">
        <f>IF(C71="","",VLOOKUP('OPĆI DIO'!$C$3,'OPĆI DIO'!$L$6:$U$138,9,FALSE))</f>
        <v>Sveučilišta i veleučilišta u Republici Hrvatskoj</v>
      </c>
      <c r="C71" s="69">
        <v>43</v>
      </c>
      <c r="D71" s="64" t="str">
        <f t="shared" si="13"/>
        <v>Ostali prihodi za posebne namjene</v>
      </c>
      <c r="E71" s="69">
        <v>3292</v>
      </c>
      <c r="F71" s="64" t="str">
        <f t="shared" si="10"/>
        <v>Premije osiguranja</v>
      </c>
      <c r="G71" s="102" t="s">
        <v>703</v>
      </c>
      <c r="H71" s="64" t="str">
        <f t="shared" si="14"/>
        <v>REDOVNA DJELATNOST SVEUČILIŠTA U ZAGREBU (IZ EVIDENCIJSKIH PRIHODA)</v>
      </c>
      <c r="I71" s="64" t="str">
        <f t="shared" si="15"/>
        <v>0942</v>
      </c>
      <c r="J71" s="101">
        <f>3236+29346</f>
        <v>32582</v>
      </c>
      <c r="K71" s="101">
        <v>43397</v>
      </c>
      <c r="L71" s="101">
        <f>3732+70+26312</f>
        <v>30114</v>
      </c>
      <c r="M71" s="68"/>
      <c r="O71" t="str">
        <f t="shared" si="16"/>
        <v>329</v>
      </c>
      <c r="P71" t="str">
        <f t="shared" si="17"/>
        <v>32</v>
      </c>
      <c r="Q71" t="str">
        <f t="shared" si="18"/>
        <v>43</v>
      </c>
      <c r="R71" t="str">
        <f t="shared" si="19"/>
        <v>94</v>
      </c>
      <c r="V71">
        <v>3723</v>
      </c>
      <c r="W71" t="s">
        <v>855</v>
      </c>
      <c r="Y71" s="221" t="str">
        <f t="shared" si="11"/>
        <v>37</v>
      </c>
      <c r="Z71" t="str">
        <f t="shared" si="12"/>
        <v>372</v>
      </c>
      <c r="AB71" t="s">
        <v>856</v>
      </c>
      <c r="AC71" t="s">
        <v>857</v>
      </c>
      <c r="AD71" t="s">
        <v>649</v>
      </c>
      <c r="AE71" t="s">
        <v>650</v>
      </c>
      <c r="AF71" t="s">
        <v>651</v>
      </c>
      <c r="AG71" t="s">
        <v>652</v>
      </c>
    </row>
    <row r="72" spans="1:33">
      <c r="A72" s="64" t="str">
        <f>IF(C72="","",VLOOKUP('OPĆI DIO'!$C$3,'OPĆI DIO'!$L$6:$U$138,10,FALSE))</f>
        <v>08006</v>
      </c>
      <c r="B72" s="64" t="str">
        <f>IF(C72="","",VLOOKUP('OPĆI DIO'!$C$3,'OPĆI DIO'!$L$6:$U$138,9,FALSE))</f>
        <v>Sveučilišta i veleučilišta u Republici Hrvatskoj</v>
      </c>
      <c r="C72" s="69">
        <v>43</v>
      </c>
      <c r="D72" s="64" t="str">
        <f t="shared" si="13"/>
        <v>Ostali prihodi za posebne namjene</v>
      </c>
      <c r="E72" s="69">
        <v>3293</v>
      </c>
      <c r="F72" s="64" t="str">
        <f t="shared" si="10"/>
        <v>Reprezentacija</v>
      </c>
      <c r="G72" s="102" t="s">
        <v>703</v>
      </c>
      <c r="H72" s="64" t="str">
        <f t="shared" si="14"/>
        <v>REDOVNA DJELATNOST SVEUČILIŠTA U ZAGREBU (IZ EVIDENCIJSKIH PRIHODA)</v>
      </c>
      <c r="I72" s="64" t="str">
        <f t="shared" si="15"/>
        <v>0942</v>
      </c>
      <c r="J72" s="101">
        <f>13542-59</f>
        <v>13483</v>
      </c>
      <c r="K72" s="101">
        <v>22674</v>
      </c>
      <c r="L72" s="101">
        <v>12824</v>
      </c>
      <c r="M72" s="68"/>
      <c r="O72" t="str">
        <f t="shared" si="16"/>
        <v>329</v>
      </c>
      <c r="P72" t="str">
        <f t="shared" si="17"/>
        <v>32</v>
      </c>
      <c r="Q72" t="str">
        <f t="shared" si="18"/>
        <v>43</v>
      </c>
      <c r="R72" t="str">
        <f t="shared" si="19"/>
        <v>94</v>
      </c>
      <c r="V72">
        <v>3811</v>
      </c>
      <c r="W72" t="s">
        <v>858</v>
      </c>
      <c r="Y72" s="221" t="str">
        <f t="shared" si="11"/>
        <v>38</v>
      </c>
      <c r="Z72" t="str">
        <f t="shared" si="12"/>
        <v>381</v>
      </c>
      <c r="AB72" t="s">
        <v>859</v>
      </c>
      <c r="AC72" t="s">
        <v>860</v>
      </c>
      <c r="AD72" t="s">
        <v>649</v>
      </c>
      <c r="AE72" t="s">
        <v>650</v>
      </c>
      <c r="AF72" t="s">
        <v>651</v>
      </c>
      <c r="AG72" t="s">
        <v>652</v>
      </c>
    </row>
    <row r="73" spans="1:33">
      <c r="A73" s="64" t="str">
        <f>IF(C73="","",VLOOKUP('OPĆI DIO'!$C$3,'OPĆI DIO'!$L$6:$U$138,10,FALSE))</f>
        <v>08006</v>
      </c>
      <c r="B73" s="64" t="str">
        <f>IF(C73="","",VLOOKUP('OPĆI DIO'!$C$3,'OPĆI DIO'!$L$6:$U$138,9,FALSE))</f>
        <v>Sveučilišta i veleučilišta u Republici Hrvatskoj</v>
      </c>
      <c r="C73" s="69">
        <v>43</v>
      </c>
      <c r="D73" s="64" t="str">
        <f t="shared" si="13"/>
        <v>Ostali prihodi za posebne namjene</v>
      </c>
      <c r="E73" s="69">
        <v>3294</v>
      </c>
      <c r="F73" s="64" t="str">
        <f t="shared" si="10"/>
        <v>Članarine i norme</v>
      </c>
      <c r="G73" s="102" t="s">
        <v>703</v>
      </c>
      <c r="H73" s="64" t="str">
        <f t="shared" si="14"/>
        <v>REDOVNA DJELATNOST SVEUČILIŠTA U ZAGREBU (IZ EVIDENCIJSKIH PRIHODA)</v>
      </c>
      <c r="I73" s="64" t="str">
        <f t="shared" si="15"/>
        <v>0942</v>
      </c>
      <c r="J73" s="101">
        <v>1007</v>
      </c>
      <c r="K73" s="101"/>
      <c r="L73" s="101">
        <v>1477</v>
      </c>
      <c r="M73" s="68"/>
      <c r="O73" t="str">
        <f t="shared" si="16"/>
        <v>329</v>
      </c>
      <c r="P73" t="str">
        <f t="shared" si="17"/>
        <v>32</v>
      </c>
      <c r="Q73" t="str">
        <f t="shared" si="18"/>
        <v>43</v>
      </c>
      <c r="R73" t="str">
        <f t="shared" si="19"/>
        <v>94</v>
      </c>
      <c r="V73">
        <v>3812</v>
      </c>
      <c r="W73" t="s">
        <v>861</v>
      </c>
      <c r="Y73" s="221" t="str">
        <f t="shared" si="11"/>
        <v>38</v>
      </c>
      <c r="Z73" t="str">
        <f t="shared" si="12"/>
        <v>381</v>
      </c>
      <c r="AB73" t="s">
        <v>862</v>
      </c>
      <c r="AC73" t="s">
        <v>863</v>
      </c>
      <c r="AD73" t="s">
        <v>649</v>
      </c>
      <c r="AE73" t="s">
        <v>650</v>
      </c>
      <c r="AF73" t="s">
        <v>651</v>
      </c>
      <c r="AG73" t="s">
        <v>652</v>
      </c>
    </row>
    <row r="74" spans="1:33">
      <c r="A74" s="64" t="str">
        <f>IF(C74="","",VLOOKUP('OPĆI DIO'!$C$3,'OPĆI DIO'!$L$6:$U$138,10,FALSE))</f>
        <v>08006</v>
      </c>
      <c r="B74" s="64" t="str">
        <f>IF(C74="","",VLOOKUP('OPĆI DIO'!$C$3,'OPĆI DIO'!$L$6:$U$138,9,FALSE))</f>
        <v>Sveučilišta i veleučilišta u Republici Hrvatskoj</v>
      </c>
      <c r="C74" s="69">
        <v>43</v>
      </c>
      <c r="D74" s="64" t="str">
        <f t="shared" si="13"/>
        <v>Ostali prihodi za posebne namjene</v>
      </c>
      <c r="E74" s="69">
        <v>3295</v>
      </c>
      <c r="F74" s="64" t="str">
        <f t="shared" si="10"/>
        <v>Pristojbe i naknade</v>
      </c>
      <c r="G74" s="102" t="s">
        <v>703</v>
      </c>
      <c r="H74" s="64" t="str">
        <f t="shared" si="14"/>
        <v>REDOVNA DJELATNOST SVEUČILIŠTA U ZAGREBU (IZ EVIDENCIJSKIH PRIHODA)</v>
      </c>
      <c r="I74" s="64" t="str">
        <f t="shared" si="15"/>
        <v>0942</v>
      </c>
      <c r="J74" s="101">
        <f>382+709+127+537</f>
        <v>1755</v>
      </c>
      <c r="K74" s="101">
        <v>3440</v>
      </c>
      <c r="L74" s="101">
        <f>252+204+127+59-252</f>
        <v>390</v>
      </c>
      <c r="M74" s="68"/>
      <c r="O74" t="str">
        <f t="shared" si="16"/>
        <v>329</v>
      </c>
      <c r="P74" t="str">
        <f t="shared" si="17"/>
        <v>32</v>
      </c>
      <c r="Q74" t="str">
        <f t="shared" si="18"/>
        <v>43</v>
      </c>
      <c r="R74" t="str">
        <f t="shared" si="19"/>
        <v>94</v>
      </c>
      <c r="V74">
        <v>3813</v>
      </c>
      <c r="W74" t="s">
        <v>864</v>
      </c>
      <c r="Y74" s="221" t="str">
        <f t="shared" ref="Y74:Y80" si="20">LEFT(V74,2)</f>
        <v>38</v>
      </c>
      <c r="Z74" t="str">
        <f t="shared" ref="Z74:Z80" si="21">LEFT(V74,3)</f>
        <v>381</v>
      </c>
      <c r="AB74" t="s">
        <v>865</v>
      </c>
      <c r="AC74" t="s">
        <v>866</v>
      </c>
      <c r="AD74" t="s">
        <v>657</v>
      </c>
      <c r="AE74" t="s">
        <v>658</v>
      </c>
      <c r="AF74" t="s">
        <v>644</v>
      </c>
      <c r="AG74" t="s">
        <v>659</v>
      </c>
    </row>
    <row r="75" spans="1:33">
      <c r="A75" s="64" t="str">
        <f>IF(C75="","",VLOOKUP('OPĆI DIO'!$C$3,'OPĆI DIO'!$L$6:$U$138,10,FALSE))</f>
        <v>08006</v>
      </c>
      <c r="B75" s="64" t="str">
        <f>IF(C75="","",VLOOKUP('OPĆI DIO'!$C$3,'OPĆI DIO'!$L$6:$U$138,9,FALSE))</f>
        <v>Sveučilišta i veleučilišta u Republici Hrvatskoj</v>
      </c>
      <c r="C75" s="69">
        <v>43</v>
      </c>
      <c r="D75" s="64" t="str">
        <f t="shared" si="13"/>
        <v>Ostali prihodi za posebne namjene</v>
      </c>
      <c r="E75" s="69">
        <v>3299</v>
      </c>
      <c r="F75" s="64" t="str">
        <f t="shared" si="10"/>
        <v>Ostali nespomenuti rashodi poslovanja</v>
      </c>
      <c r="G75" s="102" t="s">
        <v>703</v>
      </c>
      <c r="H75" s="64" t="str">
        <f t="shared" si="14"/>
        <v>REDOVNA DJELATNOST SVEUČILIŠTA U ZAGREBU (IZ EVIDENCIJSKIH PRIHODA)</v>
      </c>
      <c r="I75" s="64" t="str">
        <f t="shared" si="15"/>
        <v>0942</v>
      </c>
      <c r="J75" s="101">
        <f>401+5131</f>
        <v>5532</v>
      </c>
      <c r="K75" s="101">
        <v>54355</v>
      </c>
      <c r="L75" s="101">
        <f>5888+273+2</f>
        <v>6163</v>
      </c>
      <c r="M75" s="68"/>
      <c r="O75" t="str">
        <f t="shared" si="16"/>
        <v>329</v>
      </c>
      <c r="P75" t="str">
        <f t="shared" si="17"/>
        <v>32</v>
      </c>
      <c r="Q75" t="str">
        <f t="shared" si="18"/>
        <v>43</v>
      </c>
      <c r="R75" t="str">
        <f t="shared" si="19"/>
        <v>94</v>
      </c>
      <c r="V75">
        <v>3821</v>
      </c>
      <c r="W75" t="s">
        <v>867</v>
      </c>
      <c r="Y75" s="221" t="str">
        <f t="shared" si="20"/>
        <v>38</v>
      </c>
      <c r="Z75" t="str">
        <f t="shared" si="21"/>
        <v>382</v>
      </c>
      <c r="AB75" t="s">
        <v>868</v>
      </c>
      <c r="AC75" t="s">
        <v>869</v>
      </c>
      <c r="AD75" t="s">
        <v>657</v>
      </c>
      <c r="AE75" t="s">
        <v>658</v>
      </c>
      <c r="AF75" t="s">
        <v>644</v>
      </c>
      <c r="AG75" t="s">
        <v>659</v>
      </c>
    </row>
    <row r="76" spans="1:33">
      <c r="A76" s="64" t="str">
        <f>IF(C76="","",VLOOKUP('OPĆI DIO'!$C$3,'OPĆI DIO'!$L$6:$U$138,10,FALSE))</f>
        <v>08006</v>
      </c>
      <c r="B76" s="64" t="str">
        <f>IF(C76="","",VLOOKUP('OPĆI DIO'!$C$3,'OPĆI DIO'!$L$6:$U$138,9,FALSE))</f>
        <v>Sveučilišta i veleučilišta u Republici Hrvatskoj</v>
      </c>
      <c r="C76" s="69">
        <v>43</v>
      </c>
      <c r="D76" s="64" t="str">
        <f t="shared" si="13"/>
        <v>Ostali prihodi za posebne namjene</v>
      </c>
      <c r="E76" s="69">
        <v>3431</v>
      </c>
      <c r="F76" s="64" t="str">
        <f t="shared" si="10"/>
        <v>Bankarske usluge i usluge platnog prometa</v>
      </c>
      <c r="G76" s="102" t="s">
        <v>703</v>
      </c>
      <c r="H76" s="64" t="str">
        <f t="shared" si="14"/>
        <v>REDOVNA DJELATNOST SVEUČILIŠTA U ZAGREBU (IZ EVIDENCIJSKIH PRIHODA)</v>
      </c>
      <c r="I76" s="64" t="str">
        <f t="shared" si="15"/>
        <v>0942</v>
      </c>
      <c r="J76" s="101">
        <v>989</v>
      </c>
      <c r="K76" s="101">
        <v>3086</v>
      </c>
      <c r="L76" s="101">
        <f>1113+70-9</f>
        <v>1174</v>
      </c>
      <c r="M76" s="68"/>
      <c r="O76" t="str">
        <f t="shared" si="16"/>
        <v>343</v>
      </c>
      <c r="P76" t="str">
        <f t="shared" si="17"/>
        <v>34</v>
      </c>
      <c r="Q76" t="str">
        <f t="shared" si="18"/>
        <v>43</v>
      </c>
      <c r="R76" t="str">
        <f t="shared" si="19"/>
        <v>94</v>
      </c>
      <c r="V76">
        <v>3831</v>
      </c>
      <c r="W76" t="s">
        <v>870</v>
      </c>
      <c r="Y76" s="221" t="str">
        <f t="shared" si="20"/>
        <v>38</v>
      </c>
      <c r="Z76" t="str">
        <f t="shared" si="21"/>
        <v>383</v>
      </c>
      <c r="AB76" t="s">
        <v>871</v>
      </c>
      <c r="AC76" t="s">
        <v>872</v>
      </c>
      <c r="AD76" t="s">
        <v>649</v>
      </c>
      <c r="AE76" t="s">
        <v>650</v>
      </c>
      <c r="AF76" t="s">
        <v>651</v>
      </c>
      <c r="AG76" t="s">
        <v>652</v>
      </c>
    </row>
    <row r="77" spans="1:33">
      <c r="A77" s="64" t="str">
        <f>IF(C77="","",VLOOKUP('OPĆI DIO'!$C$3,'OPĆI DIO'!$L$6:$U$138,10,FALSE))</f>
        <v>08006</v>
      </c>
      <c r="B77" s="64" t="str">
        <f>IF(C77="","",VLOOKUP('OPĆI DIO'!$C$3,'OPĆI DIO'!$L$6:$U$138,9,FALSE))</f>
        <v>Sveučilišta i veleučilišta u Republici Hrvatskoj</v>
      </c>
      <c r="C77" s="69">
        <v>43</v>
      </c>
      <c r="D77" s="64" t="str">
        <f t="shared" si="13"/>
        <v>Ostali prihodi za posebne namjene</v>
      </c>
      <c r="E77" s="69">
        <v>3432</v>
      </c>
      <c r="F77" s="64" t="str">
        <f t="shared" si="10"/>
        <v>Negativne tečajne razlike i razlike zbog primjene valutne kl</v>
      </c>
      <c r="G77" s="102" t="s">
        <v>703</v>
      </c>
      <c r="H77" s="64" t="str">
        <f t="shared" si="14"/>
        <v>REDOVNA DJELATNOST SVEUČILIŠTA U ZAGREBU (IZ EVIDENCIJSKIH PRIHODA)</v>
      </c>
      <c r="I77" s="64" t="str">
        <f t="shared" si="15"/>
        <v>0942</v>
      </c>
      <c r="J77" s="101">
        <v>146</v>
      </c>
      <c r="K77" s="101">
        <v>265</v>
      </c>
      <c r="L77" s="101">
        <f>60</f>
        <v>60</v>
      </c>
      <c r="M77" s="68"/>
      <c r="O77" t="str">
        <f t="shared" si="16"/>
        <v>343</v>
      </c>
      <c r="P77" t="str">
        <f t="shared" si="17"/>
        <v>34</v>
      </c>
      <c r="Q77" t="str">
        <f t="shared" si="18"/>
        <v>43</v>
      </c>
      <c r="R77" t="str">
        <f t="shared" si="19"/>
        <v>94</v>
      </c>
      <c r="V77">
        <v>3832</v>
      </c>
      <c r="W77" t="s">
        <v>873</v>
      </c>
      <c r="Y77" s="221" t="str">
        <f t="shared" si="20"/>
        <v>38</v>
      </c>
      <c r="Z77" t="str">
        <f t="shared" si="21"/>
        <v>383</v>
      </c>
      <c r="AB77" t="s">
        <v>874</v>
      </c>
      <c r="AC77" t="s">
        <v>875</v>
      </c>
      <c r="AD77" t="s">
        <v>657</v>
      </c>
      <c r="AE77" t="s">
        <v>658</v>
      </c>
      <c r="AF77" t="s">
        <v>644</v>
      </c>
      <c r="AG77" t="s">
        <v>659</v>
      </c>
    </row>
    <row r="78" spans="1:33">
      <c r="A78" s="64" t="str">
        <f>IF(C78="","",VLOOKUP('OPĆI DIO'!$C$3,'OPĆI DIO'!$L$6:$U$138,10,FALSE))</f>
        <v>08006</v>
      </c>
      <c r="B78" s="64" t="str">
        <f>IF(C78="","",VLOOKUP('OPĆI DIO'!$C$3,'OPĆI DIO'!$L$6:$U$138,9,FALSE))</f>
        <v>Sveučilišta i veleučilišta u Republici Hrvatskoj</v>
      </c>
      <c r="C78" s="69">
        <v>43</v>
      </c>
      <c r="D78" s="64" t="str">
        <f t="shared" si="13"/>
        <v>Ostali prihodi za posebne namjene</v>
      </c>
      <c r="E78" s="69">
        <v>3433</v>
      </c>
      <c r="F78" s="64" t="str">
        <f t="shared" si="10"/>
        <v>Zatezne kamate</v>
      </c>
      <c r="G78" s="102" t="s">
        <v>703</v>
      </c>
      <c r="H78" s="64" t="str">
        <f t="shared" si="14"/>
        <v>REDOVNA DJELATNOST SVEUČILIŠTA U ZAGREBU (IZ EVIDENCIJSKIH PRIHODA)</v>
      </c>
      <c r="I78" s="64" t="str">
        <f t="shared" si="15"/>
        <v>0942</v>
      </c>
      <c r="J78" s="101">
        <f>2+2</f>
        <v>4</v>
      </c>
      <c r="K78" s="101"/>
      <c r="L78" s="101">
        <f>77+916+3+3983-76-916-3623</f>
        <v>364</v>
      </c>
      <c r="M78" s="68"/>
      <c r="O78" t="str">
        <f t="shared" si="16"/>
        <v>343</v>
      </c>
      <c r="P78" t="str">
        <f t="shared" si="17"/>
        <v>34</v>
      </c>
      <c r="Q78" t="str">
        <f t="shared" si="18"/>
        <v>43</v>
      </c>
      <c r="R78" t="str">
        <f t="shared" si="19"/>
        <v>94</v>
      </c>
      <c r="V78">
        <v>3833</v>
      </c>
      <c r="W78" t="s">
        <v>876</v>
      </c>
      <c r="Y78" s="221" t="str">
        <f t="shared" si="20"/>
        <v>38</v>
      </c>
      <c r="Z78" t="str">
        <f t="shared" si="21"/>
        <v>383</v>
      </c>
      <c r="AB78" t="s">
        <v>877</v>
      </c>
      <c r="AC78" t="s">
        <v>878</v>
      </c>
      <c r="AD78" t="s">
        <v>657</v>
      </c>
      <c r="AE78" t="s">
        <v>658</v>
      </c>
      <c r="AF78" t="s">
        <v>644</v>
      </c>
      <c r="AG78" t="s">
        <v>659</v>
      </c>
    </row>
    <row r="79" spans="1:33">
      <c r="A79" s="64" t="str">
        <f>IF(C79="","",VLOOKUP('OPĆI DIO'!$C$3,'OPĆI DIO'!$L$6:$U$138,10,FALSE))</f>
        <v>08006</v>
      </c>
      <c r="B79" s="64" t="str">
        <f>IF(C79="","",VLOOKUP('OPĆI DIO'!$C$3,'OPĆI DIO'!$L$6:$U$138,9,FALSE))</f>
        <v>Sveučilišta i veleučilišta u Republici Hrvatskoj</v>
      </c>
      <c r="C79" s="69">
        <v>43</v>
      </c>
      <c r="D79" s="64" t="str">
        <f t="shared" si="13"/>
        <v>Ostali prihodi za posebne namjene</v>
      </c>
      <c r="E79" s="69">
        <v>3434</v>
      </c>
      <c r="F79" s="64" t="str">
        <f t="shared" ref="F79:F142" si="22">IFERROR(VLOOKUP(E79,$V$5:$X$127,2,FALSE),"")</f>
        <v>Ostali nespomenuti financijski rashodi</v>
      </c>
      <c r="G79" s="102" t="s">
        <v>703</v>
      </c>
      <c r="H79" s="64" t="str">
        <f t="shared" si="14"/>
        <v>REDOVNA DJELATNOST SVEUČILIŠTA U ZAGREBU (IZ EVIDENCIJSKIH PRIHODA)</v>
      </c>
      <c r="I79" s="64" t="str">
        <f t="shared" si="15"/>
        <v>0942</v>
      </c>
      <c r="J79" s="101">
        <v>133</v>
      </c>
      <c r="K79" s="101"/>
      <c r="L79" s="101"/>
      <c r="M79" s="68"/>
      <c r="O79" t="str">
        <f t="shared" si="16"/>
        <v>343</v>
      </c>
      <c r="P79" t="str">
        <f t="shared" si="17"/>
        <v>34</v>
      </c>
      <c r="Q79" t="str">
        <f t="shared" si="18"/>
        <v>43</v>
      </c>
      <c r="R79" t="str">
        <f t="shared" si="19"/>
        <v>94</v>
      </c>
      <c r="V79">
        <v>3834</v>
      </c>
      <c r="W79" t="s">
        <v>879</v>
      </c>
      <c r="Y79" s="221" t="str">
        <f t="shared" si="20"/>
        <v>38</v>
      </c>
      <c r="Z79" t="str">
        <f t="shared" si="21"/>
        <v>383</v>
      </c>
      <c r="AB79" t="s">
        <v>880</v>
      </c>
      <c r="AC79" t="s">
        <v>881</v>
      </c>
      <c r="AD79" t="s">
        <v>649</v>
      </c>
      <c r="AE79" t="s">
        <v>650</v>
      </c>
      <c r="AF79" t="s">
        <v>651</v>
      </c>
      <c r="AG79" t="s">
        <v>652</v>
      </c>
    </row>
    <row r="80" spans="1:33">
      <c r="A80" s="64" t="str">
        <f>IF(C80="","",VLOOKUP('OPĆI DIO'!$C$3,'OPĆI DIO'!$L$6:$U$138,10,FALSE))</f>
        <v>08006</v>
      </c>
      <c r="B80" s="64" t="str">
        <f>IF(C80="","",VLOOKUP('OPĆI DIO'!$C$3,'OPĆI DIO'!$L$6:$U$138,9,FALSE))</f>
        <v>Sveučilišta i veleučilišta u Republici Hrvatskoj</v>
      </c>
      <c r="C80" s="69">
        <v>43</v>
      </c>
      <c r="D80" s="64" t="str">
        <f t="shared" si="13"/>
        <v>Ostali prihodi za posebne namjene</v>
      </c>
      <c r="E80" s="69">
        <v>3721</v>
      </c>
      <c r="F80" s="64" t="str">
        <f t="shared" si="22"/>
        <v>Naknade građanima i kućanstvima u novcu</v>
      </c>
      <c r="G80" s="102" t="s">
        <v>703</v>
      </c>
      <c r="H80" s="64" t="str">
        <f t="shared" si="14"/>
        <v>REDOVNA DJELATNOST SVEUČILIŠTA U ZAGREBU (IZ EVIDENCIJSKIH PRIHODA)</v>
      </c>
      <c r="I80" s="64" t="str">
        <f t="shared" si="15"/>
        <v>0942</v>
      </c>
      <c r="J80" s="101">
        <v>1924</v>
      </c>
      <c r="K80" s="101"/>
      <c r="L80" s="101">
        <v>664</v>
      </c>
      <c r="M80" s="68"/>
      <c r="O80" t="str">
        <f t="shared" si="16"/>
        <v>372</v>
      </c>
      <c r="P80" t="str">
        <f t="shared" si="17"/>
        <v>37</v>
      </c>
      <c r="Q80" t="str">
        <f t="shared" si="18"/>
        <v>43</v>
      </c>
      <c r="R80" t="str">
        <f t="shared" si="19"/>
        <v>94</v>
      </c>
      <c r="V80">
        <v>3835</v>
      </c>
      <c r="W80" t="s">
        <v>882</v>
      </c>
      <c r="Y80" s="221" t="str">
        <f t="shared" si="20"/>
        <v>38</v>
      </c>
      <c r="Z80" t="str">
        <f t="shared" si="21"/>
        <v>383</v>
      </c>
      <c r="AB80" t="s">
        <v>883</v>
      </c>
      <c r="AC80" t="s">
        <v>884</v>
      </c>
      <c r="AD80" t="s">
        <v>657</v>
      </c>
      <c r="AE80" t="s">
        <v>658</v>
      </c>
      <c r="AF80" t="s">
        <v>644</v>
      </c>
      <c r="AG80" t="s">
        <v>659</v>
      </c>
    </row>
    <row r="81" spans="1:33">
      <c r="A81" s="64" t="str">
        <f>IF(C81="","",VLOOKUP('OPĆI DIO'!$C$3,'OPĆI DIO'!$L$6:$U$138,10,FALSE))</f>
        <v>08006</v>
      </c>
      <c r="B81" s="64" t="str">
        <f>IF(C81="","",VLOOKUP('OPĆI DIO'!$C$3,'OPĆI DIO'!$L$6:$U$138,9,FALSE))</f>
        <v>Sveučilišta i veleučilišta u Republici Hrvatskoj</v>
      </c>
      <c r="C81" s="69">
        <v>43</v>
      </c>
      <c r="D81" s="64" t="str">
        <f t="shared" si="13"/>
        <v>Ostali prihodi za posebne namjene</v>
      </c>
      <c r="E81" s="69">
        <v>4221</v>
      </c>
      <c r="F81" s="64" t="str">
        <f t="shared" si="22"/>
        <v>Uredska oprema i namještaj</v>
      </c>
      <c r="G81" s="102" t="s">
        <v>703</v>
      </c>
      <c r="H81" s="64" t="str">
        <f t="shared" si="14"/>
        <v>REDOVNA DJELATNOST SVEUČILIŠTA U ZAGREBU (IZ EVIDENCIJSKIH PRIHODA)</v>
      </c>
      <c r="I81" s="64" t="str">
        <f t="shared" si="15"/>
        <v>0942</v>
      </c>
      <c r="J81" s="101">
        <v>6868</v>
      </c>
      <c r="K81" s="101">
        <v>20572</v>
      </c>
      <c r="L81" s="101">
        <f>1394+1880+5469</f>
        <v>8743</v>
      </c>
      <c r="M81" s="68"/>
      <c r="O81" t="str">
        <f t="shared" si="16"/>
        <v>422</v>
      </c>
      <c r="P81" t="str">
        <f t="shared" si="17"/>
        <v>42</v>
      </c>
      <c r="Q81" t="str">
        <f t="shared" si="18"/>
        <v>43</v>
      </c>
      <c r="R81" t="str">
        <f t="shared" si="19"/>
        <v>94</v>
      </c>
      <c r="V81">
        <v>3861</v>
      </c>
      <c r="W81" t="s">
        <v>885</v>
      </c>
      <c r="Y81" s="221" t="str">
        <f>LEFT(V81,2)</f>
        <v>38</v>
      </c>
      <c r="Z81" t="str">
        <f>LEFT(V81,3)</f>
        <v>386</v>
      </c>
      <c r="AB81" t="s">
        <v>886</v>
      </c>
      <c r="AC81" t="s">
        <v>887</v>
      </c>
      <c r="AD81" t="s">
        <v>677</v>
      </c>
      <c r="AE81" t="s">
        <v>678</v>
      </c>
      <c r="AF81" t="s">
        <v>644</v>
      </c>
      <c r="AG81" t="s">
        <v>679</v>
      </c>
    </row>
    <row r="82" spans="1:33">
      <c r="A82" s="64" t="str">
        <f>IF(C82="","",VLOOKUP('OPĆI DIO'!$C$3,'OPĆI DIO'!$L$6:$U$138,10,FALSE))</f>
        <v>08006</v>
      </c>
      <c r="B82" s="64" t="str">
        <f>IF(C82="","",VLOOKUP('OPĆI DIO'!$C$3,'OPĆI DIO'!$L$6:$U$138,9,FALSE))</f>
        <v>Sveučilišta i veleučilišta u Republici Hrvatskoj</v>
      </c>
      <c r="C82" s="69">
        <v>43</v>
      </c>
      <c r="D82" s="64" t="str">
        <f t="shared" si="13"/>
        <v>Ostali prihodi za posebne namjene</v>
      </c>
      <c r="E82" s="69">
        <v>4221</v>
      </c>
      <c r="F82" s="64" t="str">
        <f t="shared" si="22"/>
        <v>Uredska oprema i namještaj</v>
      </c>
      <c r="G82" s="102" t="s">
        <v>703</v>
      </c>
      <c r="H82" s="64" t="str">
        <f t="shared" si="14"/>
        <v>REDOVNA DJELATNOST SVEUČILIŠTA U ZAGREBU (IZ EVIDENCIJSKIH PRIHODA)</v>
      </c>
      <c r="I82" s="64" t="str">
        <f t="shared" si="15"/>
        <v>0942</v>
      </c>
      <c r="J82" s="101">
        <f>778+1305</f>
        <v>2083</v>
      </c>
      <c r="K82" s="101"/>
      <c r="L82" s="101"/>
      <c r="M82" s="68"/>
      <c r="O82" t="str">
        <f t="shared" si="16"/>
        <v>422</v>
      </c>
      <c r="P82" t="str">
        <f t="shared" si="17"/>
        <v>42</v>
      </c>
      <c r="Q82" t="str">
        <f t="shared" si="18"/>
        <v>43</v>
      </c>
      <c r="R82" t="str">
        <f t="shared" si="19"/>
        <v>94</v>
      </c>
      <c r="V82">
        <v>3862</v>
      </c>
      <c r="W82" t="s">
        <v>888</v>
      </c>
      <c r="Y82" s="221" t="str">
        <f>LEFT(V82,2)</f>
        <v>38</v>
      </c>
      <c r="Z82" t="str">
        <f>LEFT(V82,3)</f>
        <v>386</v>
      </c>
      <c r="AB82" t="s">
        <v>889</v>
      </c>
      <c r="AC82" t="s">
        <v>890</v>
      </c>
      <c r="AD82" t="s">
        <v>677</v>
      </c>
      <c r="AE82" t="s">
        <v>678</v>
      </c>
      <c r="AF82" t="s">
        <v>644</v>
      </c>
      <c r="AG82" t="s">
        <v>679</v>
      </c>
    </row>
    <row r="83" spans="1:33">
      <c r="A83" s="64" t="str">
        <f>IF(C83="","",VLOOKUP('OPĆI DIO'!$C$3,'OPĆI DIO'!$L$6:$U$138,10,FALSE))</f>
        <v>08006</v>
      </c>
      <c r="B83" s="64" t="str">
        <f>IF(C83="","",VLOOKUP('OPĆI DIO'!$C$3,'OPĆI DIO'!$L$6:$U$138,9,FALSE))</f>
        <v>Sveučilišta i veleučilišta u Republici Hrvatskoj</v>
      </c>
      <c r="C83" s="69">
        <v>43</v>
      </c>
      <c r="D83" s="64" t="str">
        <f t="shared" si="13"/>
        <v>Ostali prihodi za posebne namjene</v>
      </c>
      <c r="E83" s="69">
        <v>4222</v>
      </c>
      <c r="F83" s="64" t="str">
        <f t="shared" si="22"/>
        <v>Komunikacijska oprema</v>
      </c>
      <c r="G83" s="102" t="s">
        <v>703</v>
      </c>
      <c r="H83" s="64" t="str">
        <f t="shared" si="14"/>
        <v>REDOVNA DJELATNOST SVEUČILIŠTA U ZAGREBU (IZ EVIDENCIJSKIH PRIHODA)</v>
      </c>
      <c r="I83" s="64" t="str">
        <f t="shared" si="15"/>
        <v>0942</v>
      </c>
      <c r="J83" s="101">
        <f>255+2014</f>
        <v>2269</v>
      </c>
      <c r="K83" s="101">
        <v>5309</v>
      </c>
      <c r="L83" s="101">
        <f>452+4964</f>
        <v>5416</v>
      </c>
      <c r="M83" s="68"/>
      <c r="O83" t="str">
        <f t="shared" si="16"/>
        <v>422</v>
      </c>
      <c r="P83" t="str">
        <f t="shared" si="17"/>
        <v>42</v>
      </c>
      <c r="Q83" t="str">
        <f t="shared" si="18"/>
        <v>43</v>
      </c>
      <c r="R83" t="str">
        <f t="shared" si="19"/>
        <v>94</v>
      </c>
      <c r="V83">
        <v>3863</v>
      </c>
      <c r="W83" t="s">
        <v>891</v>
      </c>
      <c r="Y83" s="221" t="str">
        <f>LEFT(V83,2)</f>
        <v>38</v>
      </c>
      <c r="Z83" t="str">
        <f>LEFT(V83,3)</f>
        <v>386</v>
      </c>
      <c r="AB83" t="s">
        <v>892</v>
      </c>
      <c r="AC83" t="s">
        <v>893</v>
      </c>
      <c r="AD83" t="s">
        <v>677</v>
      </c>
      <c r="AE83" t="s">
        <v>678</v>
      </c>
      <c r="AF83" t="s">
        <v>644</v>
      </c>
      <c r="AG83" t="s">
        <v>679</v>
      </c>
    </row>
    <row r="84" spans="1:33">
      <c r="A84" s="64" t="str">
        <f>IF(C84="","",VLOOKUP('OPĆI DIO'!$C$3,'OPĆI DIO'!$L$6:$U$138,10,FALSE))</f>
        <v>08006</v>
      </c>
      <c r="B84" s="64" t="str">
        <f>IF(C84="","",VLOOKUP('OPĆI DIO'!$C$3,'OPĆI DIO'!$L$6:$U$138,9,FALSE))</f>
        <v>Sveučilišta i veleučilišta u Republici Hrvatskoj</v>
      </c>
      <c r="C84" s="69">
        <v>43</v>
      </c>
      <c r="D84" s="64" t="str">
        <f t="shared" si="13"/>
        <v>Ostali prihodi za posebne namjene</v>
      </c>
      <c r="E84" s="69">
        <v>4223</v>
      </c>
      <c r="F84" s="64" t="str">
        <f t="shared" si="22"/>
        <v>Oprema za održavanje i zaštitu</v>
      </c>
      <c r="G84" s="102" t="s">
        <v>703</v>
      </c>
      <c r="H84" s="64" t="str">
        <f t="shared" si="14"/>
        <v>REDOVNA DJELATNOST SVEUČILIŠTA U ZAGREBU (IZ EVIDENCIJSKIH PRIHODA)</v>
      </c>
      <c r="I84" s="64" t="str">
        <f t="shared" si="15"/>
        <v>0942</v>
      </c>
      <c r="J84" s="101">
        <v>1122</v>
      </c>
      <c r="K84" s="101">
        <v>17254</v>
      </c>
      <c r="L84" s="101">
        <f>1441+1470+529</f>
        <v>3440</v>
      </c>
      <c r="M84" s="68"/>
      <c r="O84" t="str">
        <f t="shared" si="16"/>
        <v>422</v>
      </c>
      <c r="P84" t="str">
        <f t="shared" si="17"/>
        <v>42</v>
      </c>
      <c r="Q84" t="str">
        <f t="shared" si="18"/>
        <v>43</v>
      </c>
      <c r="R84" t="str">
        <f t="shared" si="19"/>
        <v>94</v>
      </c>
      <c r="V84">
        <v>4111</v>
      </c>
      <c r="W84" t="s">
        <v>894</v>
      </c>
      <c r="Y84" s="221" t="str">
        <f t="shared" ref="Y84:Y101" si="23">LEFT(V84,2)</f>
        <v>41</v>
      </c>
      <c r="Z84" t="str">
        <f t="shared" ref="Z84:Z116" si="24">LEFT(V84,3)</f>
        <v>411</v>
      </c>
      <c r="AB84" t="s">
        <v>895</v>
      </c>
      <c r="AC84" t="s">
        <v>896</v>
      </c>
      <c r="AD84" t="s">
        <v>677</v>
      </c>
      <c r="AE84" t="s">
        <v>678</v>
      </c>
      <c r="AF84" t="s">
        <v>644</v>
      </c>
      <c r="AG84" t="s">
        <v>679</v>
      </c>
    </row>
    <row r="85" spans="1:33">
      <c r="A85" s="64" t="str">
        <f>IF(C85="","",VLOOKUP('OPĆI DIO'!$C$3,'OPĆI DIO'!$L$6:$U$138,10,FALSE))</f>
        <v>08006</v>
      </c>
      <c r="B85" s="64" t="str">
        <f>IF(C85="","",VLOOKUP('OPĆI DIO'!$C$3,'OPĆI DIO'!$L$6:$U$138,9,FALSE))</f>
        <v>Sveučilišta i veleučilišta u Republici Hrvatskoj</v>
      </c>
      <c r="C85" s="69">
        <v>43</v>
      </c>
      <c r="D85" s="64" t="str">
        <f t="shared" si="13"/>
        <v>Ostali prihodi za posebne namjene</v>
      </c>
      <c r="E85" s="69">
        <v>4224</v>
      </c>
      <c r="F85" s="64" t="str">
        <f t="shared" si="22"/>
        <v>Medicinska i laboratorijska oprema</v>
      </c>
      <c r="G85" s="102" t="s">
        <v>703</v>
      </c>
      <c r="H85" s="64" t="str">
        <f t="shared" si="14"/>
        <v>REDOVNA DJELATNOST SVEUČILIŠTA U ZAGREBU (IZ EVIDENCIJSKIH PRIHODA)</v>
      </c>
      <c r="I85" s="64" t="str">
        <f t="shared" si="15"/>
        <v>0942</v>
      </c>
      <c r="J85" s="101">
        <v>1243</v>
      </c>
      <c r="K85" s="101">
        <v>19908</v>
      </c>
      <c r="L85" s="101">
        <f>28875</f>
        <v>28875</v>
      </c>
      <c r="M85" s="68"/>
      <c r="O85" t="str">
        <f t="shared" si="16"/>
        <v>422</v>
      </c>
      <c r="P85" t="str">
        <f t="shared" si="17"/>
        <v>42</v>
      </c>
      <c r="Q85" t="str">
        <f t="shared" si="18"/>
        <v>43</v>
      </c>
      <c r="R85" t="str">
        <f t="shared" si="19"/>
        <v>94</v>
      </c>
      <c r="V85">
        <v>4113</v>
      </c>
      <c r="W85" t="s">
        <v>897</v>
      </c>
      <c r="Y85" s="221" t="str">
        <f t="shared" si="23"/>
        <v>41</v>
      </c>
      <c r="Z85" t="str">
        <f t="shared" si="24"/>
        <v>411</v>
      </c>
      <c r="AB85" t="s">
        <v>898</v>
      </c>
      <c r="AC85" t="s">
        <v>899</v>
      </c>
      <c r="AD85" t="s">
        <v>677</v>
      </c>
      <c r="AE85" t="s">
        <v>678</v>
      </c>
      <c r="AF85" t="s">
        <v>644</v>
      </c>
      <c r="AG85" t="s">
        <v>679</v>
      </c>
    </row>
    <row r="86" spans="1:33">
      <c r="A86" s="64" t="str">
        <f>IF(C86="","",VLOOKUP('OPĆI DIO'!$C$3,'OPĆI DIO'!$L$6:$U$138,10,FALSE))</f>
        <v>08006</v>
      </c>
      <c r="B86" s="64" t="str">
        <f>IF(C86="","",VLOOKUP('OPĆI DIO'!$C$3,'OPĆI DIO'!$L$6:$U$138,9,FALSE))</f>
        <v>Sveučilišta i veleučilišta u Republici Hrvatskoj</v>
      </c>
      <c r="C86" s="69">
        <v>43</v>
      </c>
      <c r="D86" s="64" t="str">
        <f t="shared" si="13"/>
        <v>Ostali prihodi za posebne namjene</v>
      </c>
      <c r="E86" s="69">
        <v>4225</v>
      </c>
      <c r="F86" s="64" t="str">
        <f t="shared" si="22"/>
        <v>Instrumenti, uređaji i strojevi</v>
      </c>
      <c r="G86" s="102" t="s">
        <v>703</v>
      </c>
      <c r="H86" s="64" t="str">
        <f t="shared" si="14"/>
        <v>REDOVNA DJELATNOST SVEUČILIŠTA U ZAGREBU (IZ EVIDENCIJSKIH PRIHODA)</v>
      </c>
      <c r="I86" s="64" t="str">
        <f t="shared" si="15"/>
        <v>0942</v>
      </c>
      <c r="J86" s="101">
        <v>7665</v>
      </c>
      <c r="K86" s="101"/>
      <c r="L86" s="101">
        <f>1938</f>
        <v>1938</v>
      </c>
      <c r="M86" s="68"/>
      <c r="O86" t="str">
        <f t="shared" si="16"/>
        <v>422</v>
      </c>
      <c r="P86" t="str">
        <f t="shared" si="17"/>
        <v>42</v>
      </c>
      <c r="Q86" t="str">
        <f t="shared" si="18"/>
        <v>43</v>
      </c>
      <c r="R86" t="str">
        <f t="shared" si="19"/>
        <v>94</v>
      </c>
      <c r="V86">
        <v>4122</v>
      </c>
      <c r="W86" t="s">
        <v>900</v>
      </c>
      <c r="Y86" s="221" t="str">
        <f t="shared" si="23"/>
        <v>41</v>
      </c>
      <c r="Z86" t="str">
        <f t="shared" si="24"/>
        <v>412</v>
      </c>
      <c r="AB86" t="s">
        <v>901</v>
      </c>
      <c r="AC86" t="s">
        <v>902</v>
      </c>
      <c r="AD86" t="s">
        <v>657</v>
      </c>
      <c r="AE86" t="s">
        <v>658</v>
      </c>
      <c r="AF86" t="s">
        <v>644</v>
      </c>
      <c r="AG86" t="s">
        <v>659</v>
      </c>
    </row>
    <row r="87" spans="1:33">
      <c r="A87" s="64" t="str">
        <f>IF(C87="","",VLOOKUP('OPĆI DIO'!$C$3,'OPĆI DIO'!$L$6:$U$138,10,FALSE))</f>
        <v>08006</v>
      </c>
      <c r="B87" s="64" t="str">
        <f>IF(C87="","",VLOOKUP('OPĆI DIO'!$C$3,'OPĆI DIO'!$L$6:$U$138,9,FALSE))</f>
        <v>Sveučilišta i veleučilišta u Republici Hrvatskoj</v>
      </c>
      <c r="C87" s="69">
        <v>43</v>
      </c>
      <c r="D87" s="64" t="str">
        <f t="shared" si="13"/>
        <v>Ostali prihodi za posebne namjene</v>
      </c>
      <c r="E87" s="69">
        <v>4226</v>
      </c>
      <c r="F87" s="64" t="str">
        <f t="shared" si="22"/>
        <v>Sportska i glazbena oprema</v>
      </c>
      <c r="G87" s="102" t="s">
        <v>703</v>
      </c>
      <c r="H87" s="64" t="str">
        <f t="shared" si="14"/>
        <v>REDOVNA DJELATNOST SVEUČILIŠTA U ZAGREBU (IZ EVIDENCIJSKIH PRIHODA)</v>
      </c>
      <c r="I87" s="64" t="str">
        <f t="shared" si="15"/>
        <v>0942</v>
      </c>
      <c r="J87" s="101">
        <v>19173</v>
      </c>
      <c r="K87" s="101">
        <v>5982</v>
      </c>
      <c r="L87" s="101"/>
      <c r="M87" s="68"/>
      <c r="O87" t="str">
        <f t="shared" si="16"/>
        <v>422</v>
      </c>
      <c r="P87" t="str">
        <f t="shared" si="17"/>
        <v>42</v>
      </c>
      <c r="Q87" t="str">
        <f t="shared" si="18"/>
        <v>43</v>
      </c>
      <c r="R87" t="str">
        <f t="shared" si="19"/>
        <v>94</v>
      </c>
      <c r="V87">
        <v>4123</v>
      </c>
      <c r="W87" t="s">
        <v>903</v>
      </c>
      <c r="Y87" s="221" t="str">
        <f t="shared" si="23"/>
        <v>41</v>
      </c>
      <c r="Z87" t="str">
        <f t="shared" si="24"/>
        <v>412</v>
      </c>
      <c r="AB87" t="s">
        <v>904</v>
      </c>
      <c r="AC87" t="s">
        <v>905</v>
      </c>
      <c r="AD87" t="s">
        <v>649</v>
      </c>
      <c r="AE87" t="s">
        <v>650</v>
      </c>
      <c r="AF87" t="s">
        <v>651</v>
      </c>
      <c r="AG87" t="s">
        <v>652</v>
      </c>
    </row>
    <row r="88" spans="1:33">
      <c r="A88" s="64" t="str">
        <f>IF(C88="","",VLOOKUP('OPĆI DIO'!$C$3,'OPĆI DIO'!$L$6:$U$138,10,FALSE))</f>
        <v>08006</v>
      </c>
      <c r="B88" s="64" t="str">
        <f>IF(C88="","",VLOOKUP('OPĆI DIO'!$C$3,'OPĆI DIO'!$L$6:$U$138,9,FALSE))</f>
        <v>Sveučilišta i veleučilišta u Republici Hrvatskoj</v>
      </c>
      <c r="C88" s="69">
        <v>43</v>
      </c>
      <c r="D88" s="64" t="str">
        <f t="shared" si="13"/>
        <v>Ostali prihodi za posebne namjene</v>
      </c>
      <c r="E88" s="69">
        <v>4227</v>
      </c>
      <c r="F88" s="64" t="str">
        <f t="shared" si="22"/>
        <v>Uređaji, strojevi i oprema za ostale namjene</v>
      </c>
      <c r="G88" s="102" t="s">
        <v>703</v>
      </c>
      <c r="H88" s="64" t="str">
        <f t="shared" si="14"/>
        <v>REDOVNA DJELATNOST SVEUČILIŠTA U ZAGREBU (IZ EVIDENCIJSKIH PRIHODA)</v>
      </c>
      <c r="I88" s="64" t="str">
        <f t="shared" si="15"/>
        <v>0942</v>
      </c>
      <c r="J88" s="101">
        <v>205</v>
      </c>
      <c r="K88" s="101"/>
      <c r="L88" s="101">
        <v>569</v>
      </c>
      <c r="M88" s="68"/>
      <c r="O88" t="str">
        <f t="shared" si="16"/>
        <v>422</v>
      </c>
      <c r="P88" t="str">
        <f t="shared" si="17"/>
        <v>42</v>
      </c>
      <c r="Q88" t="str">
        <f t="shared" si="18"/>
        <v>43</v>
      </c>
      <c r="R88" t="str">
        <f t="shared" si="19"/>
        <v>94</v>
      </c>
      <c r="V88">
        <v>4124</v>
      </c>
      <c r="W88" t="s">
        <v>906</v>
      </c>
      <c r="Y88" s="221" t="str">
        <f t="shared" si="23"/>
        <v>41</v>
      </c>
      <c r="Z88" t="str">
        <f t="shared" si="24"/>
        <v>412</v>
      </c>
      <c r="AB88" t="s">
        <v>904</v>
      </c>
      <c r="AC88" t="s">
        <v>905</v>
      </c>
      <c r="AD88" t="s">
        <v>657</v>
      </c>
      <c r="AE88" t="s">
        <v>658</v>
      </c>
      <c r="AF88" t="s">
        <v>644</v>
      </c>
      <c r="AG88" t="s">
        <v>659</v>
      </c>
    </row>
    <row r="89" spans="1:33">
      <c r="A89" s="64" t="str">
        <f>IF(C89="","",VLOOKUP('OPĆI DIO'!$C$3,'OPĆI DIO'!$L$6:$U$138,10,FALSE))</f>
        <v>08006</v>
      </c>
      <c r="B89" s="64" t="str">
        <f>IF(C89="","",VLOOKUP('OPĆI DIO'!$C$3,'OPĆI DIO'!$L$6:$U$138,9,FALSE))</f>
        <v>Sveučilišta i veleučilišta u Republici Hrvatskoj</v>
      </c>
      <c r="C89" s="69">
        <v>43</v>
      </c>
      <c r="D89" s="64" t="str">
        <f t="shared" si="13"/>
        <v>Ostali prihodi za posebne namjene</v>
      </c>
      <c r="E89" s="69">
        <v>4233</v>
      </c>
      <c r="F89" s="64" t="str">
        <f t="shared" si="22"/>
        <v>Prijevozna sredstva u pomorskom i riječnom prometu</v>
      </c>
      <c r="G89" s="102" t="s">
        <v>703</v>
      </c>
      <c r="H89" s="64" t="str">
        <f t="shared" si="14"/>
        <v>REDOVNA DJELATNOST SVEUČILIŠTA U ZAGREBU (IZ EVIDENCIJSKIH PRIHODA)</v>
      </c>
      <c r="I89" s="64" t="str">
        <f t="shared" si="15"/>
        <v>0942</v>
      </c>
      <c r="J89" s="101">
        <v>3318</v>
      </c>
      <c r="K89" s="101"/>
      <c r="L89" s="101"/>
      <c r="M89" s="68"/>
      <c r="O89" t="str">
        <f t="shared" si="16"/>
        <v>423</v>
      </c>
      <c r="P89" t="str">
        <f t="shared" si="17"/>
        <v>42</v>
      </c>
      <c r="Q89" t="str">
        <f t="shared" si="18"/>
        <v>43</v>
      </c>
      <c r="R89" t="str">
        <f t="shared" si="19"/>
        <v>94</v>
      </c>
      <c r="V89">
        <v>4126</v>
      </c>
      <c r="W89" t="s">
        <v>907</v>
      </c>
      <c r="Y89" s="221" t="str">
        <f t="shared" si="23"/>
        <v>41</v>
      </c>
      <c r="Z89" t="str">
        <f t="shared" si="24"/>
        <v>412</v>
      </c>
      <c r="AB89" t="s">
        <v>908</v>
      </c>
      <c r="AC89" t="s">
        <v>909</v>
      </c>
      <c r="AD89" t="s">
        <v>657</v>
      </c>
      <c r="AE89" t="s">
        <v>658</v>
      </c>
      <c r="AF89" t="s">
        <v>644</v>
      </c>
      <c r="AG89" t="s">
        <v>659</v>
      </c>
    </row>
    <row r="90" spans="1:33">
      <c r="A90" s="64" t="str">
        <f>IF(C90="","",VLOOKUP('OPĆI DIO'!$C$3,'OPĆI DIO'!$L$6:$U$138,10,FALSE))</f>
        <v>08006</v>
      </c>
      <c r="B90" s="64" t="str">
        <f>IF(C90="","",VLOOKUP('OPĆI DIO'!$C$3,'OPĆI DIO'!$L$6:$U$138,9,FALSE))</f>
        <v>Sveučilišta i veleučilišta u Republici Hrvatskoj</v>
      </c>
      <c r="C90" s="69">
        <v>43</v>
      </c>
      <c r="D90" s="64" t="str">
        <f t="shared" si="13"/>
        <v>Ostali prihodi za posebne namjene</v>
      </c>
      <c r="E90" s="69">
        <v>4241</v>
      </c>
      <c r="F90" s="64" t="str">
        <f t="shared" si="22"/>
        <v>Knjige</v>
      </c>
      <c r="G90" s="102" t="s">
        <v>703</v>
      </c>
      <c r="H90" s="64" t="str">
        <f t="shared" si="14"/>
        <v>REDOVNA DJELATNOST SVEUČILIŠTA U ZAGREBU (IZ EVIDENCIJSKIH PRIHODA)</v>
      </c>
      <c r="I90" s="64" t="str">
        <f t="shared" si="15"/>
        <v>0942</v>
      </c>
      <c r="J90" s="101">
        <v>1267</v>
      </c>
      <c r="K90" s="101">
        <v>3982</v>
      </c>
      <c r="L90" s="101">
        <v>985</v>
      </c>
      <c r="M90" s="68"/>
      <c r="O90" t="str">
        <f t="shared" si="16"/>
        <v>424</v>
      </c>
      <c r="P90" t="str">
        <f t="shared" si="17"/>
        <v>42</v>
      </c>
      <c r="Q90" t="str">
        <f t="shared" si="18"/>
        <v>43</v>
      </c>
      <c r="R90" t="str">
        <f t="shared" si="19"/>
        <v>94</v>
      </c>
      <c r="V90">
        <v>4211</v>
      </c>
      <c r="W90" t="s">
        <v>910</v>
      </c>
      <c r="Y90" s="221" t="str">
        <f t="shared" si="23"/>
        <v>42</v>
      </c>
      <c r="Z90" t="str">
        <f t="shared" si="24"/>
        <v>421</v>
      </c>
      <c r="AB90" t="s">
        <v>911</v>
      </c>
      <c r="AC90" t="s">
        <v>912</v>
      </c>
      <c r="AD90" t="s">
        <v>657</v>
      </c>
      <c r="AE90" t="s">
        <v>658</v>
      </c>
      <c r="AF90" t="s">
        <v>644</v>
      </c>
      <c r="AG90" t="s">
        <v>659</v>
      </c>
    </row>
    <row r="91" spans="1:33">
      <c r="A91" s="64" t="str">
        <f>IF(C91="","",VLOOKUP('OPĆI DIO'!$C$3,'OPĆI DIO'!$L$6:$U$138,10,FALSE))</f>
        <v>08006</v>
      </c>
      <c r="B91" s="64" t="str">
        <f>IF(C91="","",VLOOKUP('OPĆI DIO'!$C$3,'OPĆI DIO'!$L$6:$U$138,9,FALSE))</f>
        <v>Sveučilišta i veleučilišta u Republici Hrvatskoj</v>
      </c>
      <c r="C91" s="69">
        <v>52</v>
      </c>
      <c r="D91" s="64" t="str">
        <f t="shared" si="13"/>
        <v>Ostale pomoći</v>
      </c>
      <c r="E91" s="69">
        <v>3111</v>
      </c>
      <c r="F91" s="64" t="str">
        <f t="shared" si="22"/>
        <v>Plaće za redovan rad</v>
      </c>
      <c r="G91" s="102" t="s">
        <v>703</v>
      </c>
      <c r="H91" s="64" t="str">
        <f t="shared" si="14"/>
        <v>REDOVNA DJELATNOST SVEUČILIŠTA U ZAGREBU (IZ EVIDENCIJSKIH PRIHODA)</v>
      </c>
      <c r="I91" s="64" t="str">
        <f t="shared" si="15"/>
        <v>0942</v>
      </c>
      <c r="J91" s="101">
        <f>23418+1705</f>
        <v>25123</v>
      </c>
      <c r="K91" s="101">
        <v>64408</v>
      </c>
      <c r="L91" s="101">
        <v>25866</v>
      </c>
      <c r="M91" s="68"/>
      <c r="O91" t="str">
        <f t="shared" si="16"/>
        <v>311</v>
      </c>
      <c r="P91" t="str">
        <f t="shared" si="17"/>
        <v>31</v>
      </c>
      <c r="Q91" t="str">
        <f t="shared" si="18"/>
        <v>52</v>
      </c>
      <c r="R91" t="str">
        <f t="shared" si="19"/>
        <v>94</v>
      </c>
      <c r="V91">
        <v>4212</v>
      </c>
      <c r="W91" t="s">
        <v>913</v>
      </c>
      <c r="Y91" s="221" t="str">
        <f t="shared" si="23"/>
        <v>42</v>
      </c>
      <c r="Z91" t="str">
        <f t="shared" si="24"/>
        <v>421</v>
      </c>
      <c r="AB91" t="s">
        <v>914</v>
      </c>
      <c r="AC91" t="s">
        <v>915</v>
      </c>
      <c r="AD91" t="s">
        <v>649</v>
      </c>
      <c r="AE91" t="s">
        <v>650</v>
      </c>
      <c r="AF91" t="s">
        <v>651</v>
      </c>
      <c r="AG91" t="s">
        <v>652</v>
      </c>
    </row>
    <row r="92" spans="1:33">
      <c r="A92" s="64" t="str">
        <f>IF(C92="","",VLOOKUP('OPĆI DIO'!$C$3,'OPĆI DIO'!$L$6:$U$138,10,FALSE))</f>
        <v>08006</v>
      </c>
      <c r="B92" s="64" t="str">
        <f>IF(C92="","",VLOOKUP('OPĆI DIO'!$C$3,'OPĆI DIO'!$L$6:$U$138,9,FALSE))</f>
        <v>Sveučilišta i veleučilišta u Republici Hrvatskoj</v>
      </c>
      <c r="C92" s="69">
        <v>52</v>
      </c>
      <c r="D92" s="64" t="str">
        <f t="shared" si="13"/>
        <v>Ostale pomoći</v>
      </c>
      <c r="E92" s="69">
        <v>3132</v>
      </c>
      <c r="F92" s="64" t="str">
        <f t="shared" si="22"/>
        <v>Doprinosi za obvezno zdravstveno osiguranje</v>
      </c>
      <c r="G92" s="102" t="s">
        <v>703</v>
      </c>
      <c r="H92" s="64" t="str">
        <f t="shared" si="14"/>
        <v>REDOVNA DJELATNOST SVEUČILIŠTA U ZAGREBU (IZ EVIDENCIJSKIH PRIHODA)</v>
      </c>
      <c r="I92" s="64" t="str">
        <f t="shared" si="15"/>
        <v>0942</v>
      </c>
      <c r="J92" s="101">
        <f>3864+430</f>
        <v>4294</v>
      </c>
      <c r="K92" s="101">
        <v>10627</v>
      </c>
      <c r="L92" s="101">
        <v>4268</v>
      </c>
      <c r="M92" s="68"/>
      <c r="O92" t="str">
        <f t="shared" si="16"/>
        <v>313</v>
      </c>
      <c r="P92" t="str">
        <f t="shared" si="17"/>
        <v>31</v>
      </c>
      <c r="Q92" t="str">
        <f t="shared" si="18"/>
        <v>52</v>
      </c>
      <c r="R92" t="str">
        <f t="shared" si="19"/>
        <v>94</v>
      </c>
      <c r="V92">
        <v>4213</v>
      </c>
      <c r="W92" t="s">
        <v>916</v>
      </c>
      <c r="Y92" s="221" t="str">
        <f t="shared" si="23"/>
        <v>42</v>
      </c>
      <c r="Z92" t="str">
        <f t="shared" si="24"/>
        <v>421</v>
      </c>
      <c r="AB92" t="s">
        <v>917</v>
      </c>
      <c r="AC92" t="s">
        <v>918</v>
      </c>
      <c r="AD92" t="s">
        <v>649</v>
      </c>
      <c r="AE92" t="s">
        <v>650</v>
      </c>
      <c r="AF92" t="s">
        <v>651</v>
      </c>
      <c r="AG92" t="s">
        <v>652</v>
      </c>
    </row>
    <row r="93" spans="1:33">
      <c r="A93" s="64" t="str">
        <f>IF(C93="","",VLOOKUP('OPĆI DIO'!$C$3,'OPĆI DIO'!$L$6:$U$138,10,FALSE))</f>
        <v>08006</v>
      </c>
      <c r="B93" s="64" t="str">
        <f>IF(C93="","",VLOOKUP('OPĆI DIO'!$C$3,'OPĆI DIO'!$L$6:$U$138,9,FALSE))</f>
        <v>Sveučilišta i veleučilišta u Republici Hrvatskoj</v>
      </c>
      <c r="C93" s="69">
        <v>52</v>
      </c>
      <c r="D93" s="64" t="str">
        <f t="shared" si="13"/>
        <v>Ostale pomoći</v>
      </c>
      <c r="E93" s="69">
        <v>3211</v>
      </c>
      <c r="F93" s="64" t="str">
        <f t="shared" si="22"/>
        <v>Službena putovanja</v>
      </c>
      <c r="G93" s="102" t="s">
        <v>703</v>
      </c>
      <c r="H93" s="64" t="str">
        <f t="shared" si="14"/>
        <v>REDOVNA DJELATNOST SVEUČILIŠTA U ZAGREBU (IZ EVIDENCIJSKIH PRIHODA)</v>
      </c>
      <c r="I93" s="64" t="str">
        <f t="shared" si="15"/>
        <v>0942</v>
      </c>
      <c r="J93" s="101">
        <f>534+224+161</f>
        <v>919</v>
      </c>
      <c r="K93" s="101"/>
      <c r="L93" s="101">
        <f>304+2727+5745</f>
        <v>8776</v>
      </c>
      <c r="M93" s="68"/>
      <c r="O93" t="str">
        <f t="shared" si="16"/>
        <v>321</v>
      </c>
      <c r="P93" t="str">
        <f t="shared" si="17"/>
        <v>32</v>
      </c>
      <c r="Q93" t="str">
        <f t="shared" si="18"/>
        <v>52</v>
      </c>
      <c r="R93" t="str">
        <f t="shared" si="19"/>
        <v>94</v>
      </c>
      <c r="V93">
        <v>4214</v>
      </c>
      <c r="W93" t="s">
        <v>919</v>
      </c>
      <c r="Y93" s="221" t="str">
        <f t="shared" si="23"/>
        <v>42</v>
      </c>
      <c r="Z93" t="str">
        <f t="shared" si="24"/>
        <v>421</v>
      </c>
      <c r="AB93" t="s">
        <v>920</v>
      </c>
      <c r="AC93" t="s">
        <v>921</v>
      </c>
      <c r="AD93" t="s">
        <v>649</v>
      </c>
      <c r="AE93" t="s">
        <v>650</v>
      </c>
      <c r="AF93" t="s">
        <v>651</v>
      </c>
      <c r="AG93" t="s">
        <v>652</v>
      </c>
    </row>
    <row r="94" spans="1:33">
      <c r="A94" s="64" t="str">
        <f>IF(C94="","",VLOOKUP('OPĆI DIO'!$C$3,'OPĆI DIO'!$L$6:$U$138,10,FALSE))</f>
        <v>08006</v>
      </c>
      <c r="B94" s="64" t="str">
        <f>IF(C94="","",VLOOKUP('OPĆI DIO'!$C$3,'OPĆI DIO'!$L$6:$U$138,9,FALSE))</f>
        <v>Sveučilišta i veleučilišta u Republici Hrvatskoj</v>
      </c>
      <c r="C94" s="69">
        <v>52</v>
      </c>
      <c r="D94" s="64" t="str">
        <f t="shared" si="13"/>
        <v>Ostale pomoći</v>
      </c>
      <c r="E94" s="69">
        <v>3212</v>
      </c>
      <c r="F94" s="64" t="str">
        <f t="shared" si="22"/>
        <v>Naknade za prijevoz, za rad na terenu i odvojeni život</v>
      </c>
      <c r="G94" s="102" t="s">
        <v>703</v>
      </c>
      <c r="H94" s="64" t="str">
        <f t="shared" si="14"/>
        <v>REDOVNA DJELATNOST SVEUČILIŠTA U ZAGREBU (IZ EVIDENCIJSKIH PRIHODA)</v>
      </c>
      <c r="I94" s="64" t="str">
        <f t="shared" si="15"/>
        <v>0942</v>
      </c>
      <c r="J94" s="101">
        <f>411+44</f>
        <v>455</v>
      </c>
      <c r="K94" s="101">
        <v>2309</v>
      </c>
      <c r="L94" s="101">
        <v>908</v>
      </c>
      <c r="M94" s="68"/>
      <c r="O94" t="str">
        <f t="shared" si="16"/>
        <v>321</v>
      </c>
      <c r="P94" t="str">
        <f t="shared" si="17"/>
        <v>32</v>
      </c>
      <c r="Q94" t="str">
        <f t="shared" si="18"/>
        <v>52</v>
      </c>
      <c r="R94" t="str">
        <f t="shared" si="19"/>
        <v>94</v>
      </c>
      <c r="V94">
        <v>4221</v>
      </c>
      <c r="W94" t="s">
        <v>922</v>
      </c>
      <c r="Y94" s="221" t="str">
        <f t="shared" si="23"/>
        <v>42</v>
      </c>
      <c r="Z94" t="str">
        <f t="shared" si="24"/>
        <v>422</v>
      </c>
      <c r="AB94" t="s">
        <v>923</v>
      </c>
      <c r="AC94" t="s">
        <v>924</v>
      </c>
      <c r="AD94" t="s">
        <v>657</v>
      </c>
      <c r="AE94" t="s">
        <v>658</v>
      </c>
      <c r="AF94" t="s">
        <v>644</v>
      </c>
      <c r="AG94" t="s">
        <v>659</v>
      </c>
    </row>
    <row r="95" spans="1:33">
      <c r="A95" s="64" t="str">
        <f>IF(C95="","",VLOOKUP('OPĆI DIO'!$C$3,'OPĆI DIO'!$L$6:$U$138,10,FALSE))</f>
        <v>08006</v>
      </c>
      <c r="B95" s="64" t="str">
        <f>IF(C95="","",VLOOKUP('OPĆI DIO'!$C$3,'OPĆI DIO'!$L$6:$U$138,9,FALSE))</f>
        <v>Sveučilišta i veleučilišta u Republici Hrvatskoj</v>
      </c>
      <c r="C95" s="69">
        <v>52</v>
      </c>
      <c r="D95" s="64" t="str">
        <f t="shared" si="13"/>
        <v>Ostale pomoći</v>
      </c>
      <c r="E95" s="69">
        <v>3239</v>
      </c>
      <c r="F95" s="64" t="str">
        <f t="shared" si="22"/>
        <v>Ostale usluge</v>
      </c>
      <c r="G95" s="102" t="s">
        <v>703</v>
      </c>
      <c r="H95" s="64" t="str">
        <f t="shared" si="14"/>
        <v>REDOVNA DJELATNOST SVEUČILIŠTA U ZAGREBU (IZ EVIDENCIJSKIH PRIHODA)</v>
      </c>
      <c r="I95" s="64" t="str">
        <f t="shared" si="15"/>
        <v>0942</v>
      </c>
      <c r="J95" s="101">
        <v>498</v>
      </c>
      <c r="K95" s="101">
        <v>6465</v>
      </c>
      <c r="L95" s="101"/>
      <c r="M95" s="68"/>
      <c r="O95" t="str">
        <f t="shared" si="16"/>
        <v>323</v>
      </c>
      <c r="P95" t="str">
        <f t="shared" si="17"/>
        <v>32</v>
      </c>
      <c r="Q95" t="str">
        <f t="shared" si="18"/>
        <v>52</v>
      </c>
      <c r="R95" t="str">
        <f t="shared" si="19"/>
        <v>94</v>
      </c>
      <c r="V95">
        <v>4222</v>
      </c>
      <c r="W95" t="s">
        <v>925</v>
      </c>
      <c r="Y95" s="221" t="str">
        <f t="shared" si="23"/>
        <v>42</v>
      </c>
      <c r="Z95" t="str">
        <f t="shared" si="24"/>
        <v>422</v>
      </c>
      <c r="AB95" t="s">
        <v>926</v>
      </c>
      <c r="AC95" t="s">
        <v>927</v>
      </c>
      <c r="AD95" t="s">
        <v>657</v>
      </c>
      <c r="AE95" t="s">
        <v>658</v>
      </c>
      <c r="AF95" t="s">
        <v>644</v>
      </c>
      <c r="AG95" t="s">
        <v>659</v>
      </c>
    </row>
    <row r="96" spans="1:33">
      <c r="A96" s="64" t="str">
        <f>IF(C96="","",VLOOKUP('OPĆI DIO'!$C$3,'OPĆI DIO'!$L$6:$U$138,10,FALSE))</f>
        <v>08006</v>
      </c>
      <c r="B96" s="64" t="str">
        <f>IF(C96="","",VLOOKUP('OPĆI DIO'!$C$3,'OPĆI DIO'!$L$6:$U$138,9,FALSE))</f>
        <v>Sveučilišta i veleučilišta u Republici Hrvatskoj</v>
      </c>
      <c r="C96" s="69">
        <v>61</v>
      </c>
      <c r="D96" s="64" t="str">
        <f t="shared" si="13"/>
        <v>Donacije</v>
      </c>
      <c r="E96" s="69">
        <v>3239</v>
      </c>
      <c r="F96" s="64" t="str">
        <f t="shared" si="22"/>
        <v>Ostale usluge</v>
      </c>
      <c r="G96" s="102" t="s">
        <v>703</v>
      </c>
      <c r="H96" s="64" t="str">
        <f t="shared" si="14"/>
        <v>REDOVNA DJELATNOST SVEUČILIŠTA U ZAGREBU (IZ EVIDENCIJSKIH PRIHODA)</v>
      </c>
      <c r="I96" s="64" t="str">
        <f t="shared" si="15"/>
        <v>0942</v>
      </c>
      <c r="J96" s="101">
        <v>1593</v>
      </c>
      <c r="K96" s="101"/>
      <c r="L96" s="101"/>
      <c r="M96" s="68"/>
      <c r="O96" t="str">
        <f t="shared" si="16"/>
        <v>323</v>
      </c>
      <c r="P96" t="str">
        <f t="shared" si="17"/>
        <v>32</v>
      </c>
      <c r="Q96" t="str">
        <f t="shared" si="18"/>
        <v>61</v>
      </c>
      <c r="R96" t="str">
        <f t="shared" si="19"/>
        <v>94</v>
      </c>
      <c r="V96">
        <v>4223</v>
      </c>
      <c r="W96" t="s">
        <v>928</v>
      </c>
      <c r="Y96" s="221" t="str">
        <f t="shared" si="23"/>
        <v>42</v>
      </c>
      <c r="Z96" t="str">
        <f t="shared" si="24"/>
        <v>422</v>
      </c>
      <c r="AB96" t="s">
        <v>929</v>
      </c>
      <c r="AC96" t="s">
        <v>930</v>
      </c>
      <c r="AD96" t="s">
        <v>657</v>
      </c>
      <c r="AE96" t="s">
        <v>658</v>
      </c>
      <c r="AF96" t="s">
        <v>644</v>
      </c>
      <c r="AG96" t="s">
        <v>659</v>
      </c>
    </row>
    <row r="97" spans="1:33">
      <c r="A97" s="64" t="str">
        <f>IF(C97="","",VLOOKUP('OPĆI DIO'!$C$3,'OPĆI DIO'!$L$6:$U$138,10,FALSE))</f>
        <v>08006</v>
      </c>
      <c r="B97" s="64" t="str">
        <f>IF(C97="","",VLOOKUP('OPĆI DIO'!$C$3,'OPĆI DIO'!$L$6:$U$138,9,FALSE))</f>
        <v>Sveučilišta i veleučilišta u Republici Hrvatskoj</v>
      </c>
      <c r="C97" s="69">
        <v>561</v>
      </c>
      <c r="D97" s="64" t="str">
        <f t="shared" si="13"/>
        <v>Europski socijalni fond (ESF)</v>
      </c>
      <c r="E97" s="69">
        <v>3111</v>
      </c>
      <c r="F97" s="64" t="str">
        <f t="shared" si="22"/>
        <v>Plaće za redovan rad</v>
      </c>
      <c r="G97" s="102" t="s">
        <v>703</v>
      </c>
      <c r="H97" s="64" t="str">
        <f t="shared" si="14"/>
        <v>REDOVNA DJELATNOST SVEUČILIŠTA U ZAGREBU (IZ EVIDENCIJSKIH PRIHODA)</v>
      </c>
      <c r="I97" s="64" t="str">
        <f t="shared" si="15"/>
        <v>0942</v>
      </c>
      <c r="J97" s="101">
        <f>1195+7432</f>
        <v>8627</v>
      </c>
      <c r="K97" s="101"/>
      <c r="L97" s="101"/>
      <c r="M97" s="68"/>
      <c r="O97" t="str">
        <f t="shared" si="16"/>
        <v>311</v>
      </c>
      <c r="P97" t="str">
        <f t="shared" si="17"/>
        <v>31</v>
      </c>
      <c r="Q97" t="str">
        <f t="shared" si="18"/>
        <v>561</v>
      </c>
      <c r="R97" t="str">
        <f t="shared" si="19"/>
        <v>94</v>
      </c>
      <c r="V97">
        <v>4224</v>
      </c>
      <c r="W97" t="s">
        <v>931</v>
      </c>
      <c r="Y97" s="221" t="str">
        <f t="shared" si="23"/>
        <v>42</v>
      </c>
      <c r="Z97" t="str">
        <f t="shared" si="24"/>
        <v>422</v>
      </c>
      <c r="AB97" t="s">
        <v>932</v>
      </c>
      <c r="AC97" t="s">
        <v>933</v>
      </c>
      <c r="AD97" t="s">
        <v>657</v>
      </c>
      <c r="AE97" t="s">
        <v>658</v>
      </c>
      <c r="AF97" t="s">
        <v>644</v>
      </c>
      <c r="AG97" t="s">
        <v>659</v>
      </c>
    </row>
    <row r="98" spans="1:33">
      <c r="A98" s="64" t="str">
        <f>IF(C98="","",VLOOKUP('OPĆI DIO'!$C$3,'OPĆI DIO'!$L$6:$U$138,10,FALSE))</f>
        <v>08006</v>
      </c>
      <c r="B98" s="64" t="str">
        <f>IF(C98="","",VLOOKUP('OPĆI DIO'!$C$3,'OPĆI DIO'!$L$6:$U$138,9,FALSE))</f>
        <v>Sveučilišta i veleučilišta u Republici Hrvatskoj</v>
      </c>
      <c r="C98" s="69">
        <v>561</v>
      </c>
      <c r="D98" s="64" t="str">
        <f t="shared" si="13"/>
        <v>Europski socijalni fond (ESF)</v>
      </c>
      <c r="E98" s="69">
        <v>3132</v>
      </c>
      <c r="F98" s="64" t="str">
        <f t="shared" si="22"/>
        <v>Doprinosi za obvezno zdravstveno osiguranje</v>
      </c>
      <c r="G98" s="102" t="s">
        <v>703</v>
      </c>
      <c r="H98" s="64" t="str">
        <f t="shared" si="14"/>
        <v>REDOVNA DJELATNOST SVEUČILIŠTA U ZAGREBU (IZ EVIDENCIJSKIH PRIHODA)</v>
      </c>
      <c r="I98" s="64" t="str">
        <f t="shared" si="15"/>
        <v>0942</v>
      </c>
      <c r="J98" s="101">
        <f>197+1226</f>
        <v>1423</v>
      </c>
      <c r="K98" s="101"/>
      <c r="L98" s="101"/>
      <c r="M98" s="68"/>
      <c r="O98" t="str">
        <f t="shared" si="16"/>
        <v>313</v>
      </c>
      <c r="P98" t="str">
        <f t="shared" si="17"/>
        <v>31</v>
      </c>
      <c r="Q98" t="str">
        <f t="shared" si="18"/>
        <v>561</v>
      </c>
      <c r="R98" t="str">
        <f t="shared" si="19"/>
        <v>94</v>
      </c>
      <c r="V98">
        <v>4225</v>
      </c>
      <c r="W98" t="s">
        <v>934</v>
      </c>
      <c r="Y98" s="221" t="str">
        <f t="shared" si="23"/>
        <v>42</v>
      </c>
      <c r="Z98" t="str">
        <f t="shared" si="24"/>
        <v>422</v>
      </c>
      <c r="AB98" t="s">
        <v>935</v>
      </c>
      <c r="AC98" t="s">
        <v>936</v>
      </c>
      <c r="AD98" t="s">
        <v>657</v>
      </c>
      <c r="AE98" t="s">
        <v>658</v>
      </c>
      <c r="AF98" t="s">
        <v>644</v>
      </c>
      <c r="AG98" t="s">
        <v>659</v>
      </c>
    </row>
    <row r="99" spans="1:33">
      <c r="A99" s="64" t="str">
        <f>IF(C99="","",VLOOKUP('OPĆI DIO'!$C$3,'OPĆI DIO'!$L$6:$U$138,10,FALSE))</f>
        <v>08006</v>
      </c>
      <c r="B99" s="64" t="str">
        <f>IF(C99="","",VLOOKUP('OPĆI DIO'!$C$3,'OPĆI DIO'!$L$6:$U$138,9,FALSE))</f>
        <v>Sveučilišta i veleučilišta u Republici Hrvatskoj</v>
      </c>
      <c r="C99" s="69">
        <v>561</v>
      </c>
      <c r="D99" s="64" t="str">
        <f t="shared" si="13"/>
        <v>Europski socijalni fond (ESF)</v>
      </c>
      <c r="E99" s="69">
        <v>3211</v>
      </c>
      <c r="F99" s="64" t="str">
        <f t="shared" si="22"/>
        <v>Službena putovanja</v>
      </c>
      <c r="G99" s="102" t="s">
        <v>703</v>
      </c>
      <c r="H99" s="64" t="str">
        <f t="shared" si="14"/>
        <v>REDOVNA DJELATNOST SVEUČILIŠTA U ZAGREBU (IZ EVIDENCIJSKIH PRIHODA)</v>
      </c>
      <c r="I99" s="64" t="str">
        <f t="shared" si="15"/>
        <v>0942</v>
      </c>
      <c r="J99" s="101">
        <f>53+110</f>
        <v>163</v>
      </c>
      <c r="K99" s="101"/>
      <c r="L99" s="101"/>
      <c r="M99" s="68"/>
      <c r="O99" t="str">
        <f t="shared" si="16"/>
        <v>321</v>
      </c>
      <c r="P99" t="str">
        <f t="shared" si="17"/>
        <v>32</v>
      </c>
      <c r="Q99" t="str">
        <f t="shared" si="18"/>
        <v>561</v>
      </c>
      <c r="R99" t="str">
        <f t="shared" si="19"/>
        <v>94</v>
      </c>
      <c r="V99">
        <v>4226</v>
      </c>
      <c r="W99" t="s">
        <v>937</v>
      </c>
      <c r="Y99" s="221" t="str">
        <f t="shared" si="23"/>
        <v>42</v>
      </c>
      <c r="Z99" t="str">
        <f t="shared" si="24"/>
        <v>422</v>
      </c>
      <c r="AB99" t="s">
        <v>938</v>
      </c>
      <c r="AC99" t="s">
        <v>939</v>
      </c>
      <c r="AD99" t="s">
        <v>657</v>
      </c>
      <c r="AE99" t="s">
        <v>658</v>
      </c>
      <c r="AF99" t="s">
        <v>644</v>
      </c>
      <c r="AG99" t="s">
        <v>659</v>
      </c>
    </row>
    <row r="100" spans="1:33">
      <c r="A100" s="64" t="str">
        <f>IF(C100="","",VLOOKUP('OPĆI DIO'!$C$3,'OPĆI DIO'!$L$6:$U$138,10,FALSE))</f>
        <v>08006</v>
      </c>
      <c r="B100" s="64" t="str">
        <f>IF(C100="","",VLOOKUP('OPĆI DIO'!$C$3,'OPĆI DIO'!$L$6:$U$138,9,FALSE))</f>
        <v>Sveučilišta i veleučilišta u Republici Hrvatskoj</v>
      </c>
      <c r="C100" s="69">
        <v>71</v>
      </c>
      <c r="D100" s="64" t="str">
        <f t="shared" si="13"/>
        <v>Prihodi od nefin. imovine i nadoknade štete s osnova osig.</v>
      </c>
      <c r="E100" s="69">
        <v>4225</v>
      </c>
      <c r="F100" s="64" t="str">
        <f t="shared" si="22"/>
        <v>Instrumenti, uređaji i strojevi</v>
      </c>
      <c r="G100" s="102" t="s">
        <v>703</v>
      </c>
      <c r="H100" s="64" t="str">
        <f t="shared" si="14"/>
        <v>REDOVNA DJELATNOST SVEUČILIŠTA U ZAGREBU (IZ EVIDENCIJSKIH PRIHODA)</v>
      </c>
      <c r="I100" s="64" t="str">
        <f t="shared" si="15"/>
        <v>0942</v>
      </c>
      <c r="J100" s="101">
        <v>98</v>
      </c>
      <c r="K100" s="101">
        <v>1327</v>
      </c>
      <c r="L100" s="101"/>
      <c r="M100" s="68"/>
      <c r="O100" t="str">
        <f t="shared" si="16"/>
        <v>422</v>
      </c>
      <c r="P100" t="str">
        <f t="shared" si="17"/>
        <v>42</v>
      </c>
      <c r="Q100" t="str">
        <f t="shared" si="18"/>
        <v>71</v>
      </c>
      <c r="R100" t="str">
        <f t="shared" si="19"/>
        <v>94</v>
      </c>
      <c r="V100">
        <v>4227</v>
      </c>
      <c r="W100" t="s">
        <v>940</v>
      </c>
      <c r="Y100" s="221" t="str">
        <f t="shared" si="23"/>
        <v>42</v>
      </c>
      <c r="Z100" t="str">
        <f t="shared" si="24"/>
        <v>422</v>
      </c>
      <c r="AB100" t="s">
        <v>941</v>
      </c>
      <c r="AC100" t="s">
        <v>942</v>
      </c>
      <c r="AD100" t="s">
        <v>657</v>
      </c>
      <c r="AE100" t="s">
        <v>658</v>
      </c>
      <c r="AF100" t="s">
        <v>644</v>
      </c>
      <c r="AG100" t="s">
        <v>659</v>
      </c>
    </row>
    <row r="101" spans="1:33">
      <c r="A101" s="64" t="str">
        <f>IF(C101="","",VLOOKUP('OPĆI DIO'!$C$3,'OPĆI DIO'!$L$6:$U$138,10,FALSE))</f>
        <v>08006</v>
      </c>
      <c r="B101" s="64" t="str">
        <f>IF(C101="","",VLOOKUP('OPĆI DIO'!$C$3,'OPĆI DIO'!$L$6:$U$138,9,FALSE))</f>
        <v>Sveučilišta i veleučilišta u Republici Hrvatskoj</v>
      </c>
      <c r="C101" s="69">
        <v>51</v>
      </c>
      <c r="D101" s="64" t="str">
        <f t="shared" si="13"/>
        <v>Pomoći EU</v>
      </c>
      <c r="E101" s="69">
        <v>3111</v>
      </c>
      <c r="F101" s="64" t="str">
        <f t="shared" si="22"/>
        <v>Plaće za redovan rad</v>
      </c>
      <c r="G101" s="102" t="s">
        <v>703</v>
      </c>
      <c r="H101" s="64" t="str">
        <f t="shared" si="14"/>
        <v>REDOVNA DJELATNOST SVEUČILIŠTA U ZAGREBU (IZ EVIDENCIJSKIH PRIHODA)</v>
      </c>
      <c r="I101" s="64" t="str">
        <f t="shared" si="15"/>
        <v>0942</v>
      </c>
      <c r="J101" s="101">
        <v>9122</v>
      </c>
      <c r="K101" s="101"/>
      <c r="L101" s="101">
        <v>4400</v>
      </c>
      <c r="M101" s="68"/>
      <c r="O101" t="str">
        <f t="shared" si="16"/>
        <v>311</v>
      </c>
      <c r="P101" t="str">
        <f t="shared" si="17"/>
        <v>31</v>
      </c>
      <c r="Q101" t="str">
        <f t="shared" si="18"/>
        <v>51</v>
      </c>
      <c r="R101" t="str">
        <f t="shared" si="19"/>
        <v>94</v>
      </c>
      <c r="V101">
        <v>4231</v>
      </c>
      <c r="W101" t="s">
        <v>943</v>
      </c>
      <c r="Y101" s="221" t="str">
        <f t="shared" si="23"/>
        <v>42</v>
      </c>
      <c r="Z101" t="str">
        <f t="shared" si="24"/>
        <v>423</v>
      </c>
      <c r="AB101" t="s">
        <v>944</v>
      </c>
      <c r="AC101" t="s">
        <v>945</v>
      </c>
      <c r="AD101" t="s">
        <v>657</v>
      </c>
      <c r="AE101" t="s">
        <v>658</v>
      </c>
      <c r="AF101" t="s">
        <v>644</v>
      </c>
      <c r="AG101" t="s">
        <v>659</v>
      </c>
    </row>
    <row r="102" spans="1:33">
      <c r="A102" s="64" t="str">
        <f>IF(C102="","",VLOOKUP('OPĆI DIO'!$C$3,'OPĆI DIO'!$L$6:$U$138,10,FALSE))</f>
        <v>08006</v>
      </c>
      <c r="B102" s="64" t="str">
        <f>IF(C102="","",VLOOKUP('OPĆI DIO'!$C$3,'OPĆI DIO'!$L$6:$U$138,9,FALSE))</f>
        <v>Sveučilišta i veleučilišta u Republici Hrvatskoj</v>
      </c>
      <c r="C102" s="69">
        <v>51</v>
      </c>
      <c r="D102" s="64" t="str">
        <f t="shared" si="13"/>
        <v>Pomoći EU</v>
      </c>
      <c r="E102" s="69">
        <v>3132</v>
      </c>
      <c r="F102" s="64" t="str">
        <f t="shared" si="22"/>
        <v>Doprinosi za obvezno zdravstveno osiguranje</v>
      </c>
      <c r="G102" s="102" t="s">
        <v>703</v>
      </c>
      <c r="H102" s="64" t="str">
        <f t="shared" si="14"/>
        <v>REDOVNA DJELATNOST SVEUČILIŠTA U ZAGREBU (IZ EVIDENCIJSKIH PRIHODA)</v>
      </c>
      <c r="I102" s="64" t="str">
        <f t="shared" si="15"/>
        <v>0942</v>
      </c>
      <c r="J102" s="101">
        <f>1505</f>
        <v>1505</v>
      </c>
      <c r="K102" s="101"/>
      <c r="L102" s="101">
        <v>726</v>
      </c>
      <c r="M102" s="68"/>
      <c r="O102" t="str">
        <f t="shared" si="16"/>
        <v>313</v>
      </c>
      <c r="P102" t="str">
        <f t="shared" si="17"/>
        <v>31</v>
      </c>
      <c r="Q102" t="str">
        <f t="shared" si="18"/>
        <v>51</v>
      </c>
      <c r="R102" t="str">
        <f t="shared" si="19"/>
        <v>94</v>
      </c>
      <c r="V102">
        <v>4233</v>
      </c>
      <c r="W102" t="s">
        <v>946</v>
      </c>
      <c r="Y102" s="221" t="str">
        <f t="shared" ref="Y102:Y127" si="25">LEFT(V102,2)</f>
        <v>42</v>
      </c>
      <c r="Z102" t="str">
        <f t="shared" si="24"/>
        <v>423</v>
      </c>
      <c r="AB102" t="s">
        <v>947</v>
      </c>
      <c r="AC102" t="s">
        <v>948</v>
      </c>
      <c r="AD102" t="s">
        <v>649</v>
      </c>
      <c r="AE102" t="s">
        <v>650</v>
      </c>
      <c r="AF102" t="s">
        <v>651</v>
      </c>
      <c r="AG102" t="s">
        <v>652</v>
      </c>
    </row>
    <row r="103" spans="1:33">
      <c r="A103" s="64" t="str">
        <f>IF(C103="","",VLOOKUP('OPĆI DIO'!$C$3,'OPĆI DIO'!$L$6:$U$138,10,FALSE))</f>
        <v>08006</v>
      </c>
      <c r="B103" s="64" t="str">
        <f>IF(C103="","",VLOOKUP('OPĆI DIO'!$C$3,'OPĆI DIO'!$L$6:$U$138,9,FALSE))</f>
        <v>Sveučilišta i veleučilišta u Republici Hrvatskoj</v>
      </c>
      <c r="C103" s="69">
        <v>51</v>
      </c>
      <c r="D103" s="64" t="str">
        <f t="shared" si="13"/>
        <v>Pomoći EU</v>
      </c>
      <c r="E103" s="69">
        <v>3237</v>
      </c>
      <c r="F103" s="64" t="str">
        <f t="shared" si="22"/>
        <v>Intelektualne i osobne usluge</v>
      </c>
      <c r="G103" s="102" t="s">
        <v>703</v>
      </c>
      <c r="H103" s="64" t="str">
        <f t="shared" si="14"/>
        <v>REDOVNA DJELATNOST SVEUČILIŠTA U ZAGREBU (IZ EVIDENCIJSKIH PRIHODA)</v>
      </c>
      <c r="I103" s="64" t="str">
        <f t="shared" si="15"/>
        <v>0942</v>
      </c>
      <c r="J103" s="101">
        <f>664+192+95+71</f>
        <v>1022</v>
      </c>
      <c r="K103" s="101"/>
      <c r="L103" s="101"/>
      <c r="M103" s="68"/>
      <c r="O103" t="str">
        <f t="shared" si="16"/>
        <v>323</v>
      </c>
      <c r="P103" t="str">
        <f t="shared" si="17"/>
        <v>32</v>
      </c>
      <c r="Q103" t="str">
        <f t="shared" si="18"/>
        <v>51</v>
      </c>
      <c r="R103" t="str">
        <f t="shared" si="19"/>
        <v>94</v>
      </c>
      <c r="V103">
        <v>4241</v>
      </c>
      <c r="W103" t="s">
        <v>949</v>
      </c>
      <c r="Y103" s="221" t="str">
        <f t="shared" si="25"/>
        <v>42</v>
      </c>
      <c r="Z103" t="str">
        <f t="shared" si="24"/>
        <v>424</v>
      </c>
      <c r="AB103" t="s">
        <v>950</v>
      </c>
      <c r="AC103" t="s">
        <v>951</v>
      </c>
      <c r="AD103" t="s">
        <v>780</v>
      </c>
      <c r="AE103" t="s">
        <v>781</v>
      </c>
      <c r="AF103" t="s">
        <v>644</v>
      </c>
      <c r="AG103" t="s">
        <v>782</v>
      </c>
    </row>
    <row r="104" spans="1:33">
      <c r="A104" s="64" t="str">
        <f>IF(C104="","",VLOOKUP('OPĆI DIO'!$C$3,'OPĆI DIO'!$L$6:$U$138,10,FALSE))</f>
        <v>08006</v>
      </c>
      <c r="B104" s="64" t="str">
        <f>IF(C104="","",VLOOKUP('OPĆI DIO'!$C$3,'OPĆI DIO'!$L$6:$U$138,9,FALSE))</f>
        <v>Sveučilišta i veleučilišta u Republici Hrvatskoj</v>
      </c>
      <c r="C104" s="69">
        <v>51</v>
      </c>
      <c r="D104" s="64" t="str">
        <f t="shared" si="13"/>
        <v>Pomoći EU</v>
      </c>
      <c r="E104" s="69">
        <v>3211</v>
      </c>
      <c r="F104" s="64" t="str">
        <f t="shared" si="22"/>
        <v>Službena putovanja</v>
      </c>
      <c r="G104" s="102" t="s">
        <v>703</v>
      </c>
      <c r="H104" s="64" t="str">
        <f t="shared" si="14"/>
        <v>REDOVNA DJELATNOST SVEUČILIŠTA U ZAGREBU (IZ EVIDENCIJSKIH PRIHODA)</v>
      </c>
      <c r="I104" s="64" t="str">
        <f t="shared" si="15"/>
        <v>0942</v>
      </c>
      <c r="J104" s="101">
        <v>10</v>
      </c>
      <c r="K104" s="101"/>
      <c r="L104" s="101">
        <f>53+720+933+1040+35+1294</f>
        <v>4075</v>
      </c>
      <c r="M104" s="68"/>
      <c r="O104" t="str">
        <f t="shared" si="16"/>
        <v>321</v>
      </c>
      <c r="P104" t="str">
        <f t="shared" si="17"/>
        <v>32</v>
      </c>
      <c r="Q104" t="str">
        <f t="shared" si="18"/>
        <v>51</v>
      </c>
      <c r="R104" t="str">
        <f t="shared" si="19"/>
        <v>94</v>
      </c>
      <c r="V104">
        <v>4242</v>
      </c>
      <c r="W104" t="s">
        <v>952</v>
      </c>
      <c r="Y104" s="221" t="str">
        <f t="shared" si="25"/>
        <v>42</v>
      </c>
      <c r="Z104" t="str">
        <f t="shared" si="24"/>
        <v>424</v>
      </c>
      <c r="AB104" t="s">
        <v>953</v>
      </c>
      <c r="AC104" t="s">
        <v>954</v>
      </c>
      <c r="AD104" t="s">
        <v>657</v>
      </c>
      <c r="AE104" t="s">
        <v>658</v>
      </c>
      <c r="AF104" t="s">
        <v>644</v>
      </c>
      <c r="AG104" t="s">
        <v>659</v>
      </c>
    </row>
    <row r="105" spans="1:33">
      <c r="A105" s="64" t="str">
        <f>IF(C105="","",VLOOKUP('OPĆI DIO'!$C$3,'OPĆI DIO'!$L$6:$U$138,10,FALSE))</f>
        <v>08006</v>
      </c>
      <c r="B105" s="64" t="str">
        <f>IF(C105="","",VLOOKUP('OPĆI DIO'!$C$3,'OPĆI DIO'!$L$6:$U$138,9,FALSE))</f>
        <v>Sveučilišta i veleučilišta u Republici Hrvatskoj</v>
      </c>
      <c r="C105" s="69">
        <v>51</v>
      </c>
      <c r="D105" s="64" t="str">
        <f t="shared" si="13"/>
        <v>Pomoći EU</v>
      </c>
      <c r="E105" s="69">
        <v>3221</v>
      </c>
      <c r="F105" s="64" t="str">
        <f t="shared" si="22"/>
        <v>Uredski materijal i ostali materijalni rashodi</v>
      </c>
      <c r="G105" s="102" t="s">
        <v>703</v>
      </c>
      <c r="H105" s="64" t="str">
        <f t="shared" si="14"/>
        <v>REDOVNA DJELATNOST SVEUČILIŠTA U ZAGREBU (IZ EVIDENCIJSKIH PRIHODA)</v>
      </c>
      <c r="I105" s="64" t="str">
        <f t="shared" si="15"/>
        <v>0942</v>
      </c>
      <c r="J105" s="101">
        <v>63</v>
      </c>
      <c r="K105" s="101"/>
      <c r="L105" s="101">
        <f>51</f>
        <v>51</v>
      </c>
      <c r="M105" s="68"/>
      <c r="O105" t="str">
        <f t="shared" si="16"/>
        <v>322</v>
      </c>
      <c r="P105" t="str">
        <f t="shared" si="17"/>
        <v>32</v>
      </c>
      <c r="Q105" t="str">
        <f t="shared" si="18"/>
        <v>51</v>
      </c>
      <c r="R105" t="str">
        <f t="shared" si="19"/>
        <v>94</v>
      </c>
      <c r="V105">
        <v>4244</v>
      </c>
      <c r="W105" t="s">
        <v>955</v>
      </c>
      <c r="Y105" s="221" t="str">
        <f t="shared" si="25"/>
        <v>42</v>
      </c>
      <c r="Z105" t="str">
        <f t="shared" si="24"/>
        <v>424</v>
      </c>
      <c r="AB105" t="s">
        <v>956</v>
      </c>
      <c r="AC105" t="s">
        <v>957</v>
      </c>
      <c r="AD105" t="s">
        <v>649</v>
      </c>
      <c r="AE105" t="s">
        <v>650</v>
      </c>
      <c r="AF105" t="s">
        <v>651</v>
      </c>
      <c r="AG105" t="s">
        <v>652</v>
      </c>
    </row>
    <row r="106" spans="1:33">
      <c r="A106" s="64" t="str">
        <f>IF(C106="","",VLOOKUP('OPĆI DIO'!$C$3,'OPĆI DIO'!$L$6:$U$138,10,FALSE))</f>
        <v>08006</v>
      </c>
      <c r="B106" s="64" t="str">
        <f>IF(C106="","",VLOOKUP('OPĆI DIO'!$C$3,'OPĆI DIO'!$L$6:$U$138,9,FALSE))</f>
        <v>Sveučilišta i veleučilišta u Republici Hrvatskoj</v>
      </c>
      <c r="C106" s="69">
        <v>51</v>
      </c>
      <c r="D106" s="64" t="str">
        <f t="shared" si="13"/>
        <v>Pomoći EU</v>
      </c>
      <c r="E106" s="69">
        <v>3235</v>
      </c>
      <c r="F106" s="64" t="str">
        <f t="shared" si="22"/>
        <v>Zakupnine i najamnine</v>
      </c>
      <c r="G106" s="102" t="s">
        <v>703</v>
      </c>
      <c r="H106" s="64" t="str">
        <f t="shared" si="14"/>
        <v>REDOVNA DJELATNOST SVEUČILIŠTA U ZAGREBU (IZ EVIDENCIJSKIH PRIHODA)</v>
      </c>
      <c r="I106" s="64" t="str">
        <f t="shared" si="15"/>
        <v>0942</v>
      </c>
      <c r="J106" s="101">
        <v>720</v>
      </c>
      <c r="K106" s="101"/>
      <c r="L106" s="101"/>
      <c r="M106" s="68"/>
      <c r="O106" t="str">
        <f t="shared" si="16"/>
        <v>323</v>
      </c>
      <c r="P106" t="str">
        <f t="shared" si="17"/>
        <v>32</v>
      </c>
      <c r="Q106" t="str">
        <f t="shared" si="18"/>
        <v>51</v>
      </c>
      <c r="R106" t="str">
        <f t="shared" si="19"/>
        <v>94</v>
      </c>
      <c r="V106">
        <v>4251</v>
      </c>
      <c r="W106" t="s">
        <v>958</v>
      </c>
      <c r="Y106" s="221" t="str">
        <f t="shared" si="25"/>
        <v>42</v>
      </c>
      <c r="Z106" t="str">
        <f t="shared" si="24"/>
        <v>425</v>
      </c>
      <c r="AB106" t="s">
        <v>959</v>
      </c>
      <c r="AC106" t="s">
        <v>960</v>
      </c>
      <c r="AD106" t="s">
        <v>649</v>
      </c>
      <c r="AE106" t="s">
        <v>650</v>
      </c>
      <c r="AF106" t="s">
        <v>651</v>
      </c>
      <c r="AG106" t="s">
        <v>652</v>
      </c>
    </row>
    <row r="107" spans="1:33">
      <c r="A107" s="64" t="str">
        <f>IF(C107="","",VLOOKUP('OPĆI DIO'!$C$3,'OPĆI DIO'!$L$6:$U$138,10,FALSE))</f>
        <v>08006</v>
      </c>
      <c r="B107" s="64" t="str">
        <f>IF(C107="","",VLOOKUP('OPĆI DIO'!$C$3,'OPĆI DIO'!$L$6:$U$138,9,FALSE))</f>
        <v>Sveučilišta i veleučilišta u Republici Hrvatskoj</v>
      </c>
      <c r="C107" s="69">
        <v>51</v>
      </c>
      <c r="D107" s="64" t="str">
        <f t="shared" si="13"/>
        <v>Pomoći EU</v>
      </c>
      <c r="E107" s="69">
        <v>3239</v>
      </c>
      <c r="F107" s="64" t="str">
        <f t="shared" si="22"/>
        <v>Ostale usluge</v>
      </c>
      <c r="G107" s="102" t="s">
        <v>703</v>
      </c>
      <c r="H107" s="64" t="str">
        <f t="shared" si="14"/>
        <v>REDOVNA DJELATNOST SVEUČILIŠTA U ZAGREBU (IZ EVIDENCIJSKIH PRIHODA)</v>
      </c>
      <c r="I107" s="64" t="str">
        <f t="shared" si="15"/>
        <v>0942</v>
      </c>
      <c r="J107" s="101">
        <v>18</v>
      </c>
      <c r="K107" s="101"/>
      <c r="L107" s="101"/>
      <c r="M107" s="68"/>
      <c r="O107" t="str">
        <f t="shared" si="16"/>
        <v>323</v>
      </c>
      <c r="P107" t="str">
        <f t="shared" si="17"/>
        <v>32</v>
      </c>
      <c r="Q107" t="str">
        <f t="shared" si="18"/>
        <v>51</v>
      </c>
      <c r="R107" t="str">
        <f t="shared" si="19"/>
        <v>94</v>
      </c>
      <c r="V107">
        <v>4252</v>
      </c>
      <c r="W107" t="s">
        <v>961</v>
      </c>
      <c r="Y107" s="221" t="str">
        <f t="shared" si="25"/>
        <v>42</v>
      </c>
      <c r="Z107" t="str">
        <f t="shared" si="24"/>
        <v>425</v>
      </c>
      <c r="AB107" t="s">
        <v>962</v>
      </c>
      <c r="AC107" t="s">
        <v>963</v>
      </c>
      <c r="AD107" t="s">
        <v>657</v>
      </c>
      <c r="AE107" t="s">
        <v>658</v>
      </c>
      <c r="AF107" t="s">
        <v>644</v>
      </c>
      <c r="AG107" t="s">
        <v>659</v>
      </c>
    </row>
    <row r="108" spans="1:33">
      <c r="A108" s="64" t="str">
        <f>IF(C108="","",VLOOKUP('OPĆI DIO'!$C$3,'OPĆI DIO'!$L$6:$U$138,10,FALSE))</f>
        <v>08006</v>
      </c>
      <c r="B108" s="64" t="str">
        <f>IF(C108="","",VLOOKUP('OPĆI DIO'!$C$3,'OPĆI DIO'!$L$6:$U$138,9,FALSE))</f>
        <v>Sveučilišta i veleučilišta u Republici Hrvatskoj</v>
      </c>
      <c r="C108" s="69">
        <v>51</v>
      </c>
      <c r="D108" s="64" t="str">
        <f t="shared" si="13"/>
        <v>Pomoći EU</v>
      </c>
      <c r="E108" s="69">
        <v>3431</v>
      </c>
      <c r="F108" s="64" t="str">
        <f t="shared" si="22"/>
        <v>Bankarske usluge i usluge platnog prometa</v>
      </c>
      <c r="G108" s="102" t="s">
        <v>703</v>
      </c>
      <c r="H108" s="64" t="str">
        <f t="shared" si="14"/>
        <v>REDOVNA DJELATNOST SVEUČILIŠTA U ZAGREBU (IZ EVIDENCIJSKIH PRIHODA)</v>
      </c>
      <c r="I108" s="64" t="str">
        <f t="shared" si="15"/>
        <v>0942</v>
      </c>
      <c r="J108" s="101">
        <f>5+8</f>
        <v>13</v>
      </c>
      <c r="K108" s="101"/>
      <c r="L108" s="101"/>
      <c r="M108" s="68"/>
      <c r="O108" t="str">
        <f t="shared" si="16"/>
        <v>343</v>
      </c>
      <c r="P108" t="str">
        <f t="shared" si="17"/>
        <v>34</v>
      </c>
      <c r="Q108" t="str">
        <f t="shared" si="18"/>
        <v>51</v>
      </c>
      <c r="R108" t="str">
        <f t="shared" si="19"/>
        <v>94</v>
      </c>
      <c r="V108">
        <v>4262</v>
      </c>
      <c r="W108" t="s">
        <v>964</v>
      </c>
      <c r="Y108" s="221" t="str">
        <f t="shared" si="25"/>
        <v>42</v>
      </c>
      <c r="Z108" t="str">
        <f t="shared" si="24"/>
        <v>426</v>
      </c>
      <c r="AB108" t="s">
        <v>965</v>
      </c>
      <c r="AC108" t="s">
        <v>966</v>
      </c>
      <c r="AD108" t="s">
        <v>677</v>
      </c>
      <c r="AE108" t="s">
        <v>678</v>
      </c>
      <c r="AF108" t="s">
        <v>644</v>
      </c>
      <c r="AG108" t="s">
        <v>679</v>
      </c>
    </row>
    <row r="109" spans="1:33">
      <c r="A109" s="64" t="str">
        <f>IF(C109="","",VLOOKUP('OPĆI DIO'!$C$3,'OPĆI DIO'!$L$6:$U$138,10,FALSE))</f>
        <v>08006</v>
      </c>
      <c r="B109" s="64" t="str">
        <f>IF(C109="","",VLOOKUP('OPĆI DIO'!$C$3,'OPĆI DIO'!$L$6:$U$138,9,FALSE))</f>
        <v>Sveučilišta i veleučilišta u Republici Hrvatskoj</v>
      </c>
      <c r="C109" s="69">
        <v>51</v>
      </c>
      <c r="D109" s="64" t="str">
        <f t="shared" si="13"/>
        <v>Pomoći EU</v>
      </c>
      <c r="E109" s="69">
        <v>3213</v>
      </c>
      <c r="F109" s="64" t="str">
        <f t="shared" si="22"/>
        <v>Stručno usavršavanje zaposlenika</v>
      </c>
      <c r="G109" s="102" t="s">
        <v>703</v>
      </c>
      <c r="H109" s="64" t="str">
        <f t="shared" si="14"/>
        <v>REDOVNA DJELATNOST SVEUČILIŠTA U ZAGREBU (IZ EVIDENCIJSKIH PRIHODA)</v>
      </c>
      <c r="I109" s="64" t="str">
        <f t="shared" si="15"/>
        <v>0942</v>
      </c>
      <c r="J109" s="101">
        <v>2312</v>
      </c>
      <c r="K109" s="101"/>
      <c r="L109" s="101"/>
      <c r="M109" s="68"/>
      <c r="O109" t="str">
        <f t="shared" si="16"/>
        <v>321</v>
      </c>
      <c r="P109" t="str">
        <f t="shared" si="17"/>
        <v>32</v>
      </c>
      <c r="Q109" t="str">
        <f t="shared" si="18"/>
        <v>51</v>
      </c>
      <c r="R109" t="str">
        <f t="shared" si="19"/>
        <v>94</v>
      </c>
      <c r="V109">
        <v>4263</v>
      </c>
      <c r="W109" t="s">
        <v>967</v>
      </c>
      <c r="Y109" s="221" t="str">
        <f t="shared" si="25"/>
        <v>42</v>
      </c>
      <c r="Z109" t="str">
        <f t="shared" si="24"/>
        <v>426</v>
      </c>
      <c r="AB109" t="s">
        <v>968</v>
      </c>
      <c r="AC109" t="s">
        <v>969</v>
      </c>
      <c r="AD109" t="s">
        <v>649</v>
      </c>
      <c r="AE109" t="s">
        <v>650</v>
      </c>
      <c r="AF109" t="s">
        <v>651</v>
      </c>
      <c r="AG109" t="s">
        <v>652</v>
      </c>
    </row>
    <row r="110" spans="1:33">
      <c r="A110" s="64" t="str">
        <f>IF(C110="","",VLOOKUP('OPĆI DIO'!$C$3,'OPĆI DIO'!$L$6:$U$138,10,FALSE))</f>
        <v>08006</v>
      </c>
      <c r="B110" s="64" t="str">
        <f>IF(C110="","",VLOOKUP('OPĆI DIO'!$C$3,'OPĆI DIO'!$L$6:$U$138,9,FALSE))</f>
        <v>Sveučilišta i veleučilišta u Republici Hrvatskoj</v>
      </c>
      <c r="C110" s="69">
        <v>11</v>
      </c>
      <c r="D110" s="64" t="str">
        <f t="shared" si="13"/>
        <v>Opći prihodi i primici</v>
      </c>
      <c r="E110" s="69">
        <v>3433</v>
      </c>
      <c r="F110" s="64" t="str">
        <f t="shared" si="22"/>
        <v>Zatezne kamate</v>
      </c>
      <c r="G110" s="102" t="s">
        <v>634</v>
      </c>
      <c r="H110" s="64" t="str">
        <f t="shared" si="14"/>
        <v>REDOVNA DJELATNOST SVEUČILIŠTA U ZAGREBU</v>
      </c>
      <c r="I110" s="64" t="str">
        <f t="shared" si="15"/>
        <v>0942</v>
      </c>
      <c r="J110" s="101"/>
      <c r="K110" s="101"/>
      <c r="L110" s="101">
        <f>1220-1220</f>
        <v>0</v>
      </c>
      <c r="M110" s="68"/>
      <c r="O110" t="str">
        <f t="shared" si="16"/>
        <v>343</v>
      </c>
      <c r="P110" t="str">
        <f t="shared" si="17"/>
        <v>34</v>
      </c>
      <c r="Q110" t="str">
        <f t="shared" si="18"/>
        <v>11</v>
      </c>
      <c r="R110" t="str">
        <f t="shared" si="19"/>
        <v>94</v>
      </c>
      <c r="V110">
        <v>4411</v>
      </c>
      <c r="W110" t="s">
        <v>970</v>
      </c>
      <c r="Y110" s="221" t="str">
        <f t="shared" si="25"/>
        <v>44</v>
      </c>
      <c r="Z110" t="str">
        <f t="shared" si="24"/>
        <v>441</v>
      </c>
      <c r="AB110" t="s">
        <v>971</v>
      </c>
      <c r="AC110" t="s">
        <v>972</v>
      </c>
      <c r="AD110" t="s">
        <v>657</v>
      </c>
      <c r="AE110" t="s">
        <v>658</v>
      </c>
      <c r="AF110" t="s">
        <v>644</v>
      </c>
      <c r="AG110" t="s">
        <v>659</v>
      </c>
    </row>
    <row r="111" spans="1:33">
      <c r="A111" s="64" t="str">
        <f>IF(C111="","",VLOOKUP('OPĆI DIO'!$C$3,'OPĆI DIO'!$L$6:$U$138,10,FALSE))</f>
        <v>08006</v>
      </c>
      <c r="B111" s="64" t="str">
        <f>IF(C111="","",VLOOKUP('OPĆI DIO'!$C$3,'OPĆI DIO'!$L$6:$U$138,9,FALSE))</f>
        <v>Sveučilišta i veleučilišta u Republici Hrvatskoj</v>
      </c>
      <c r="C111" s="69">
        <v>11</v>
      </c>
      <c r="D111" s="64" t="str">
        <f t="shared" si="13"/>
        <v>Opći prihodi i primici</v>
      </c>
      <c r="E111" s="69">
        <v>3434</v>
      </c>
      <c r="F111" s="64" t="str">
        <f t="shared" si="22"/>
        <v>Ostali nespomenuti financijski rashodi</v>
      </c>
      <c r="G111" s="102" t="s">
        <v>634</v>
      </c>
      <c r="H111" s="64" t="str">
        <f t="shared" si="14"/>
        <v>REDOVNA DJELATNOST SVEUČILIŠTA U ZAGREBU</v>
      </c>
      <c r="I111" s="64" t="str">
        <f t="shared" si="15"/>
        <v>0942</v>
      </c>
      <c r="J111" s="101"/>
      <c r="K111" s="101"/>
      <c r="L111" s="101">
        <f>2986-2986</f>
        <v>0</v>
      </c>
      <c r="M111" s="68"/>
      <c r="O111" t="str">
        <f t="shared" si="16"/>
        <v>343</v>
      </c>
      <c r="P111" t="str">
        <f t="shared" si="17"/>
        <v>34</v>
      </c>
      <c r="Q111" t="str">
        <f t="shared" si="18"/>
        <v>11</v>
      </c>
      <c r="R111" t="str">
        <f t="shared" si="19"/>
        <v>94</v>
      </c>
      <c r="V111">
        <v>4511</v>
      </c>
      <c r="W111" t="s">
        <v>973</v>
      </c>
      <c r="Y111" s="221" t="str">
        <f t="shared" si="25"/>
        <v>45</v>
      </c>
      <c r="Z111" t="str">
        <f t="shared" si="24"/>
        <v>451</v>
      </c>
      <c r="AB111" t="s">
        <v>974</v>
      </c>
      <c r="AC111" t="s">
        <v>975</v>
      </c>
      <c r="AD111" t="s">
        <v>657</v>
      </c>
      <c r="AE111" t="s">
        <v>658</v>
      </c>
      <c r="AF111" t="s">
        <v>644</v>
      </c>
      <c r="AG111" t="s">
        <v>659</v>
      </c>
    </row>
    <row r="112" spans="1:33">
      <c r="A112" s="64" t="str">
        <f>IF(C112="","",VLOOKUP('OPĆI DIO'!$C$3,'OPĆI DIO'!$L$6:$U$138,10,FALSE))</f>
        <v>08006</v>
      </c>
      <c r="B112" s="64" t="str">
        <f>IF(C112="","",VLOOKUP('OPĆI DIO'!$C$3,'OPĆI DIO'!$L$6:$U$138,9,FALSE))</f>
        <v>Sveučilišta i veleučilišta u Republici Hrvatskoj</v>
      </c>
      <c r="C112" s="69">
        <v>11</v>
      </c>
      <c r="D112" s="64" t="str">
        <f t="shared" si="13"/>
        <v>Opći prihodi i primici</v>
      </c>
      <c r="E112" s="69">
        <v>3292</v>
      </c>
      <c r="F112" s="64" t="str">
        <f t="shared" si="22"/>
        <v>Premije osiguranja</v>
      </c>
      <c r="G112" s="102" t="s">
        <v>653</v>
      </c>
      <c r="H112" s="64" t="str">
        <f t="shared" si="14"/>
        <v>PROGRAMSKO FINANCIRANJE JAVNIH VISOKIH UČILIŠTA</v>
      </c>
      <c r="I112" s="64" t="str">
        <f t="shared" si="15"/>
        <v>0942</v>
      </c>
      <c r="J112" s="101"/>
      <c r="K112" s="101"/>
      <c r="L112" s="101">
        <v>642</v>
      </c>
      <c r="M112" s="68"/>
      <c r="O112" t="str">
        <f t="shared" si="16"/>
        <v>329</v>
      </c>
      <c r="P112" t="str">
        <f t="shared" si="17"/>
        <v>32</v>
      </c>
      <c r="Q112" t="str">
        <f t="shared" si="18"/>
        <v>11</v>
      </c>
      <c r="R112" t="str">
        <f t="shared" si="19"/>
        <v>94</v>
      </c>
      <c r="V112">
        <v>4521</v>
      </c>
      <c r="W112" t="s">
        <v>976</v>
      </c>
      <c r="Y112" s="221" t="str">
        <f t="shared" si="25"/>
        <v>45</v>
      </c>
      <c r="Z112" t="str">
        <f t="shared" si="24"/>
        <v>452</v>
      </c>
      <c r="AB112" t="s">
        <v>977</v>
      </c>
      <c r="AC112" t="s">
        <v>978</v>
      </c>
      <c r="AD112" t="s">
        <v>657</v>
      </c>
      <c r="AE112" t="s">
        <v>658</v>
      </c>
      <c r="AF112" t="s">
        <v>644</v>
      </c>
      <c r="AG112" t="s">
        <v>659</v>
      </c>
    </row>
    <row r="113" spans="1:33">
      <c r="A113" s="64" t="str">
        <f>IF(C113="","",VLOOKUP('OPĆI DIO'!$C$3,'OPĆI DIO'!$L$6:$U$138,10,FALSE))</f>
        <v>08006</v>
      </c>
      <c r="B113" s="64" t="str">
        <f>IF(C113="","",VLOOKUP('OPĆI DIO'!$C$3,'OPĆI DIO'!$L$6:$U$138,9,FALSE))</f>
        <v>Sveučilišta i veleučilišta u Republici Hrvatskoj</v>
      </c>
      <c r="C113" s="69">
        <v>31</v>
      </c>
      <c r="D113" s="64" t="str">
        <f t="shared" si="13"/>
        <v>Vlastiti prihodi</v>
      </c>
      <c r="E113" s="69">
        <v>3214</v>
      </c>
      <c r="F113" s="64" t="str">
        <f t="shared" si="22"/>
        <v>Ostale naknade troškova zaposlenima</v>
      </c>
      <c r="G113" s="102" t="s">
        <v>703</v>
      </c>
      <c r="H113" s="64" t="str">
        <f t="shared" si="14"/>
        <v>REDOVNA DJELATNOST SVEUČILIŠTA U ZAGREBU (IZ EVIDENCIJSKIH PRIHODA)</v>
      </c>
      <c r="I113" s="64" t="str">
        <f t="shared" si="15"/>
        <v>0942</v>
      </c>
      <c r="J113" s="101"/>
      <c r="K113" s="101"/>
      <c r="L113" s="101">
        <v>58</v>
      </c>
      <c r="M113" s="68"/>
      <c r="O113" t="str">
        <f t="shared" si="16"/>
        <v>321</v>
      </c>
      <c r="P113" t="str">
        <f t="shared" si="17"/>
        <v>32</v>
      </c>
      <c r="Q113" t="str">
        <f t="shared" si="18"/>
        <v>31</v>
      </c>
      <c r="R113" t="str">
        <f t="shared" si="19"/>
        <v>94</v>
      </c>
      <c r="V113">
        <v>4531</v>
      </c>
      <c r="W113" t="s">
        <v>979</v>
      </c>
      <c r="Y113" s="221" t="str">
        <f t="shared" si="25"/>
        <v>45</v>
      </c>
      <c r="Z113" t="str">
        <f t="shared" si="24"/>
        <v>453</v>
      </c>
      <c r="AB113" t="s">
        <v>980</v>
      </c>
      <c r="AC113" t="s">
        <v>981</v>
      </c>
      <c r="AD113" t="s">
        <v>657</v>
      </c>
      <c r="AE113" t="s">
        <v>658</v>
      </c>
      <c r="AF113" t="s">
        <v>644</v>
      </c>
      <c r="AG113" t="s">
        <v>659</v>
      </c>
    </row>
    <row r="114" spans="1:33">
      <c r="A114" s="64" t="str">
        <f>IF(C114="","",VLOOKUP('OPĆI DIO'!$C$3,'OPĆI DIO'!$L$6:$U$138,10,FALSE))</f>
        <v>08006</v>
      </c>
      <c r="B114" s="64" t="str">
        <f>IF(C114="","",VLOOKUP('OPĆI DIO'!$C$3,'OPĆI DIO'!$L$6:$U$138,9,FALSE))</f>
        <v>Sveučilišta i veleučilišta u Republici Hrvatskoj</v>
      </c>
      <c r="C114" s="69">
        <v>31</v>
      </c>
      <c r="D114" s="64" t="str">
        <f t="shared" si="13"/>
        <v>Vlastiti prihodi</v>
      </c>
      <c r="E114" s="69">
        <v>3223</v>
      </c>
      <c r="F114" s="64" t="str">
        <f t="shared" si="22"/>
        <v>Energija</v>
      </c>
      <c r="G114" s="102" t="s">
        <v>703</v>
      </c>
      <c r="H114" s="64" t="str">
        <f t="shared" si="14"/>
        <v>REDOVNA DJELATNOST SVEUČILIŠTA U ZAGREBU (IZ EVIDENCIJSKIH PRIHODA)</v>
      </c>
      <c r="I114" s="64" t="str">
        <f t="shared" si="15"/>
        <v>0942</v>
      </c>
      <c r="J114" s="101"/>
      <c r="K114" s="101"/>
      <c r="L114" s="101">
        <v>223</v>
      </c>
      <c r="M114" s="68"/>
      <c r="O114" t="str">
        <f t="shared" si="16"/>
        <v>322</v>
      </c>
      <c r="P114" t="str">
        <f t="shared" si="17"/>
        <v>32</v>
      </c>
      <c r="Q114" t="str">
        <f t="shared" si="18"/>
        <v>31</v>
      </c>
      <c r="R114" t="str">
        <f t="shared" si="19"/>
        <v>94</v>
      </c>
      <c r="V114">
        <v>4541</v>
      </c>
      <c r="W114" t="s">
        <v>982</v>
      </c>
      <c r="Y114" s="221" t="str">
        <f t="shared" si="25"/>
        <v>45</v>
      </c>
      <c r="Z114" t="str">
        <f t="shared" si="24"/>
        <v>454</v>
      </c>
      <c r="AB114" t="s">
        <v>983</v>
      </c>
      <c r="AC114" t="s">
        <v>984</v>
      </c>
      <c r="AD114" t="s">
        <v>649</v>
      </c>
      <c r="AE114" t="s">
        <v>650</v>
      </c>
      <c r="AF114" t="s">
        <v>651</v>
      </c>
      <c r="AG114" t="s">
        <v>652</v>
      </c>
    </row>
    <row r="115" spans="1:33">
      <c r="A115" s="64" t="str">
        <f>IF(C115="","",VLOOKUP('OPĆI DIO'!$C$3,'OPĆI DIO'!$L$6:$U$138,10,FALSE))</f>
        <v>08006</v>
      </c>
      <c r="B115" s="64" t="str">
        <f>IF(C115="","",VLOOKUP('OPĆI DIO'!$C$3,'OPĆI DIO'!$L$6:$U$138,9,FALSE))</f>
        <v>Sveučilišta i veleučilišta u Republici Hrvatskoj</v>
      </c>
      <c r="C115" s="69">
        <v>31</v>
      </c>
      <c r="D115" s="64" t="str">
        <f t="shared" si="13"/>
        <v>Vlastiti prihodi</v>
      </c>
      <c r="E115" s="69">
        <v>3232</v>
      </c>
      <c r="F115" s="64" t="str">
        <f t="shared" si="22"/>
        <v>Usluge tekućeg i investicijskog održavanja</v>
      </c>
      <c r="G115" s="102" t="s">
        <v>703</v>
      </c>
      <c r="H115" s="64" t="str">
        <f t="shared" si="14"/>
        <v>REDOVNA DJELATNOST SVEUČILIŠTA U ZAGREBU (IZ EVIDENCIJSKIH PRIHODA)</v>
      </c>
      <c r="I115" s="64" t="str">
        <f t="shared" si="15"/>
        <v>0942</v>
      </c>
      <c r="J115" s="101"/>
      <c r="K115" s="101">
        <v>15927</v>
      </c>
      <c r="L115" s="101">
        <v>541</v>
      </c>
      <c r="M115" s="68"/>
      <c r="O115" t="str">
        <f t="shared" si="16"/>
        <v>323</v>
      </c>
      <c r="P115" t="str">
        <f t="shared" si="17"/>
        <v>32</v>
      </c>
      <c r="Q115" t="str">
        <f t="shared" si="18"/>
        <v>31</v>
      </c>
      <c r="R115" t="str">
        <f t="shared" si="19"/>
        <v>94</v>
      </c>
      <c r="V115">
        <v>5121</v>
      </c>
      <c r="W115" t="s">
        <v>985</v>
      </c>
      <c r="Y115" s="221" t="str">
        <f t="shared" si="25"/>
        <v>51</v>
      </c>
      <c r="Z115" t="str">
        <f t="shared" si="24"/>
        <v>512</v>
      </c>
      <c r="AB115" t="s">
        <v>986</v>
      </c>
      <c r="AC115" t="s">
        <v>987</v>
      </c>
      <c r="AD115" t="s">
        <v>642</v>
      </c>
      <c r="AE115" t="s">
        <v>643</v>
      </c>
      <c r="AF115" t="s">
        <v>644</v>
      </c>
      <c r="AG115" t="s">
        <v>645</v>
      </c>
    </row>
    <row r="116" spans="1:33">
      <c r="A116" s="64" t="str">
        <f>IF(C116="","",VLOOKUP('OPĆI DIO'!$C$3,'OPĆI DIO'!$L$6:$U$138,10,FALSE))</f>
        <v>08006</v>
      </c>
      <c r="B116" s="64" t="str">
        <f>IF(C116="","",VLOOKUP('OPĆI DIO'!$C$3,'OPĆI DIO'!$L$6:$U$138,9,FALSE))</f>
        <v>Sveučilišta i veleučilišta u Republici Hrvatskoj</v>
      </c>
      <c r="C116" s="69">
        <v>31</v>
      </c>
      <c r="D116" s="64" t="str">
        <f t="shared" si="13"/>
        <v>Vlastiti prihodi</v>
      </c>
      <c r="E116" s="69">
        <v>3235</v>
      </c>
      <c r="F116" s="64" t="str">
        <f t="shared" si="22"/>
        <v>Zakupnine i najamnine</v>
      </c>
      <c r="G116" s="102" t="s">
        <v>703</v>
      </c>
      <c r="H116" s="64" t="str">
        <f t="shared" si="14"/>
        <v>REDOVNA DJELATNOST SVEUČILIŠTA U ZAGREBU (IZ EVIDENCIJSKIH PRIHODA)</v>
      </c>
      <c r="I116" s="64" t="str">
        <f t="shared" si="15"/>
        <v>0942</v>
      </c>
      <c r="J116" s="101"/>
      <c r="K116" s="101"/>
      <c r="L116" s="101">
        <v>1158</v>
      </c>
      <c r="M116" s="68"/>
      <c r="O116" t="str">
        <f t="shared" si="16"/>
        <v>323</v>
      </c>
      <c r="P116" t="str">
        <f t="shared" si="17"/>
        <v>32</v>
      </c>
      <c r="Q116" t="str">
        <f t="shared" si="18"/>
        <v>31</v>
      </c>
      <c r="R116" t="str">
        <f t="shared" si="19"/>
        <v>94</v>
      </c>
      <c r="V116">
        <v>5443</v>
      </c>
      <c r="W116" t="s">
        <v>988</v>
      </c>
      <c r="Y116" s="221" t="str">
        <f t="shared" si="25"/>
        <v>54</v>
      </c>
      <c r="Z116" t="str">
        <f t="shared" si="24"/>
        <v>544</v>
      </c>
      <c r="AB116" t="s">
        <v>989</v>
      </c>
      <c r="AC116" t="s">
        <v>990</v>
      </c>
      <c r="AD116" t="s">
        <v>657</v>
      </c>
      <c r="AE116" t="s">
        <v>658</v>
      </c>
      <c r="AF116" t="s">
        <v>644</v>
      </c>
      <c r="AG116" t="s">
        <v>659</v>
      </c>
    </row>
    <row r="117" spans="1:33">
      <c r="A117" s="64" t="str">
        <f>IF(C117="","",VLOOKUP('OPĆI DIO'!$C$3,'OPĆI DIO'!$L$6:$U$138,10,FALSE))</f>
        <v>08006</v>
      </c>
      <c r="B117" s="64" t="str">
        <f>IF(C117="","",VLOOKUP('OPĆI DIO'!$C$3,'OPĆI DIO'!$L$6:$U$138,9,FALSE))</f>
        <v>Sveučilišta i veleučilišta u Republici Hrvatskoj</v>
      </c>
      <c r="C117" s="69">
        <v>61</v>
      </c>
      <c r="D117" s="64" t="str">
        <f t="shared" si="13"/>
        <v>Donacije</v>
      </c>
      <c r="E117" s="69">
        <v>3111</v>
      </c>
      <c r="F117" s="64" t="str">
        <f t="shared" si="22"/>
        <v>Plaće za redovan rad</v>
      </c>
      <c r="G117" s="102" t="s">
        <v>703</v>
      </c>
      <c r="H117" s="64" t="str">
        <f t="shared" si="14"/>
        <v>REDOVNA DJELATNOST SVEUČILIŠTA U ZAGREBU (IZ EVIDENCIJSKIH PRIHODA)</v>
      </c>
      <c r="I117" s="64" t="str">
        <f t="shared" si="15"/>
        <v>0942</v>
      </c>
      <c r="J117" s="101"/>
      <c r="K117" s="101"/>
      <c r="L117" s="101">
        <v>28376</v>
      </c>
      <c r="M117" s="68"/>
      <c r="O117" t="str">
        <f t="shared" si="16"/>
        <v>311</v>
      </c>
      <c r="P117" t="str">
        <f t="shared" si="17"/>
        <v>31</v>
      </c>
      <c r="Q117" t="str">
        <f t="shared" si="18"/>
        <v>61</v>
      </c>
      <c r="R117" t="str">
        <f t="shared" si="19"/>
        <v>94</v>
      </c>
      <c r="V117">
        <v>5121</v>
      </c>
      <c r="W117" t="s">
        <v>991</v>
      </c>
      <c r="Y117" s="221" t="str">
        <f t="shared" si="25"/>
        <v>51</v>
      </c>
      <c r="Z117" t="str">
        <f t="shared" ref="Z117:Z127" si="26">LEFT(V117,3)</f>
        <v>512</v>
      </c>
      <c r="AB117" t="s">
        <v>992</v>
      </c>
      <c r="AC117" t="s">
        <v>993</v>
      </c>
      <c r="AD117" t="s">
        <v>657</v>
      </c>
      <c r="AE117" t="s">
        <v>658</v>
      </c>
      <c r="AF117" t="s">
        <v>644</v>
      </c>
      <c r="AG117" t="s">
        <v>659</v>
      </c>
    </row>
    <row r="118" spans="1:33">
      <c r="A118" s="64" t="str">
        <f>IF(C118="","",VLOOKUP('OPĆI DIO'!$C$3,'OPĆI DIO'!$L$6:$U$138,10,FALSE))</f>
        <v>08006</v>
      </c>
      <c r="B118" s="64" t="str">
        <f>IF(C118="","",VLOOKUP('OPĆI DIO'!$C$3,'OPĆI DIO'!$L$6:$U$138,9,FALSE))</f>
        <v>Sveučilišta i veleučilišta u Republici Hrvatskoj</v>
      </c>
      <c r="C118" s="69">
        <v>61</v>
      </c>
      <c r="D118" s="64" t="str">
        <f t="shared" si="13"/>
        <v>Donacije</v>
      </c>
      <c r="E118" s="69">
        <v>3121</v>
      </c>
      <c r="F118" s="64" t="str">
        <f t="shared" si="22"/>
        <v>Ostali rashodi za zaposlene</v>
      </c>
      <c r="G118" s="102" t="s">
        <v>703</v>
      </c>
      <c r="H118" s="64" t="str">
        <f t="shared" si="14"/>
        <v>REDOVNA DJELATNOST SVEUČILIŠTA U ZAGREBU (IZ EVIDENCIJSKIH PRIHODA)</v>
      </c>
      <c r="I118" s="64" t="str">
        <f t="shared" si="15"/>
        <v>0942</v>
      </c>
      <c r="J118" s="101"/>
      <c r="K118" s="101"/>
      <c r="L118" s="101">
        <v>1244</v>
      </c>
      <c r="M118" s="68"/>
      <c r="O118" t="str">
        <f t="shared" si="16"/>
        <v>312</v>
      </c>
      <c r="P118" t="str">
        <f t="shared" si="17"/>
        <v>31</v>
      </c>
      <c r="Q118" t="str">
        <f t="shared" si="18"/>
        <v>61</v>
      </c>
      <c r="R118" t="str">
        <f t="shared" si="19"/>
        <v>94</v>
      </c>
      <c r="V118">
        <v>5122</v>
      </c>
      <c r="W118" t="s">
        <v>994</v>
      </c>
      <c r="Y118" s="221" t="str">
        <f t="shared" si="25"/>
        <v>51</v>
      </c>
      <c r="Z118" t="str">
        <f t="shared" si="26"/>
        <v>512</v>
      </c>
      <c r="AB118" t="s">
        <v>995</v>
      </c>
      <c r="AC118" t="s">
        <v>996</v>
      </c>
      <c r="AD118" t="s">
        <v>649</v>
      </c>
      <c r="AE118" t="s">
        <v>650</v>
      </c>
      <c r="AF118" t="s">
        <v>651</v>
      </c>
      <c r="AG118" t="s">
        <v>652</v>
      </c>
    </row>
    <row r="119" spans="1:33">
      <c r="A119" s="64" t="str">
        <f>IF(C119="","",VLOOKUP('OPĆI DIO'!$C$3,'OPĆI DIO'!$L$6:$U$138,10,FALSE))</f>
        <v>08006</v>
      </c>
      <c r="B119" s="64" t="str">
        <f>IF(C119="","",VLOOKUP('OPĆI DIO'!$C$3,'OPĆI DIO'!$L$6:$U$138,9,FALSE))</f>
        <v>Sveučilišta i veleučilišta u Republici Hrvatskoj</v>
      </c>
      <c r="C119" s="69">
        <v>61</v>
      </c>
      <c r="D119" s="64" t="str">
        <f t="shared" si="13"/>
        <v>Donacije</v>
      </c>
      <c r="E119" s="69">
        <v>3132</v>
      </c>
      <c r="F119" s="64" t="str">
        <f t="shared" si="22"/>
        <v>Doprinosi za obvezno zdravstveno osiguranje</v>
      </c>
      <c r="G119" s="102" t="s">
        <v>703</v>
      </c>
      <c r="H119" s="64" t="str">
        <f t="shared" si="14"/>
        <v>REDOVNA DJELATNOST SVEUČILIŠTA U ZAGREBU (IZ EVIDENCIJSKIH PRIHODA)</v>
      </c>
      <c r="I119" s="64" t="str">
        <f t="shared" si="15"/>
        <v>0942</v>
      </c>
      <c r="J119" s="101"/>
      <c r="K119" s="101"/>
      <c r="L119" s="101">
        <v>4682</v>
      </c>
      <c r="M119" s="68"/>
      <c r="O119" t="str">
        <f t="shared" si="16"/>
        <v>313</v>
      </c>
      <c r="P119" t="str">
        <f t="shared" si="17"/>
        <v>31</v>
      </c>
      <c r="Q119" t="str">
        <f t="shared" si="18"/>
        <v>61</v>
      </c>
      <c r="R119" t="str">
        <f t="shared" si="19"/>
        <v>94</v>
      </c>
      <c r="V119">
        <v>5141</v>
      </c>
      <c r="W119" t="s">
        <v>997</v>
      </c>
      <c r="Y119" s="221" t="str">
        <f t="shared" si="25"/>
        <v>51</v>
      </c>
      <c r="Z119" t="str">
        <f t="shared" si="26"/>
        <v>514</v>
      </c>
      <c r="AB119" t="s">
        <v>998</v>
      </c>
      <c r="AC119" t="s">
        <v>999</v>
      </c>
      <c r="AD119" t="s">
        <v>642</v>
      </c>
      <c r="AE119" t="s">
        <v>643</v>
      </c>
      <c r="AF119" t="s">
        <v>644</v>
      </c>
      <c r="AG119" t="s">
        <v>645</v>
      </c>
    </row>
    <row r="120" spans="1:33">
      <c r="A120" s="64" t="str">
        <f>IF(C120="","",VLOOKUP('OPĆI DIO'!$C$3,'OPĆI DIO'!$L$6:$U$138,10,FALSE))</f>
        <v>08006</v>
      </c>
      <c r="B120" s="64" t="str">
        <f>IF(C120="","",VLOOKUP('OPĆI DIO'!$C$3,'OPĆI DIO'!$L$6:$U$138,9,FALSE))</f>
        <v>Sveučilišta i veleučilišta u Republici Hrvatskoj</v>
      </c>
      <c r="C120" s="69">
        <v>61</v>
      </c>
      <c r="D120" s="64" t="str">
        <f t="shared" si="13"/>
        <v>Donacije</v>
      </c>
      <c r="E120" s="69">
        <v>3233</v>
      </c>
      <c r="F120" s="64" t="str">
        <f t="shared" si="22"/>
        <v>Usluge promidžbe i informiranja</v>
      </c>
      <c r="G120" s="102" t="s">
        <v>703</v>
      </c>
      <c r="H120" s="64" t="str">
        <f t="shared" si="14"/>
        <v>REDOVNA DJELATNOST SVEUČILIŠTA U ZAGREBU (IZ EVIDENCIJSKIH PRIHODA)</v>
      </c>
      <c r="I120" s="64" t="str">
        <f t="shared" si="15"/>
        <v>0942</v>
      </c>
      <c r="J120" s="101"/>
      <c r="K120" s="101"/>
      <c r="L120" s="101">
        <v>2500</v>
      </c>
      <c r="M120" s="68"/>
      <c r="O120" t="str">
        <f t="shared" si="16"/>
        <v>323</v>
      </c>
      <c r="P120" t="str">
        <f t="shared" si="17"/>
        <v>32</v>
      </c>
      <c r="Q120" t="str">
        <f t="shared" si="18"/>
        <v>61</v>
      </c>
      <c r="R120" t="str">
        <f t="shared" si="19"/>
        <v>94</v>
      </c>
      <c r="V120">
        <v>5181</v>
      </c>
      <c r="W120" t="s">
        <v>1000</v>
      </c>
      <c r="Y120" s="221" t="str">
        <f t="shared" si="25"/>
        <v>51</v>
      </c>
      <c r="Z120" t="str">
        <f t="shared" si="26"/>
        <v>518</v>
      </c>
      <c r="AB120" t="s">
        <v>1001</v>
      </c>
      <c r="AC120" t="s">
        <v>1002</v>
      </c>
      <c r="AD120" t="s">
        <v>780</v>
      </c>
      <c r="AE120" t="s">
        <v>781</v>
      </c>
      <c r="AF120" t="s">
        <v>644</v>
      </c>
      <c r="AG120" t="s">
        <v>782</v>
      </c>
    </row>
    <row r="121" spans="1:33">
      <c r="A121" s="64" t="str">
        <f>IF(C121="","",VLOOKUP('OPĆI DIO'!$C$3,'OPĆI DIO'!$L$6:$U$138,10,FALSE))</f>
        <v>08006</v>
      </c>
      <c r="B121" s="64" t="str">
        <f>IF(C121="","",VLOOKUP('OPĆI DIO'!$C$3,'OPĆI DIO'!$L$6:$U$138,9,FALSE))</f>
        <v>Sveučilišta i veleučilišta u Republici Hrvatskoj</v>
      </c>
      <c r="C121" s="69">
        <v>61</v>
      </c>
      <c r="D121" s="64" t="str">
        <f t="shared" si="13"/>
        <v>Donacije</v>
      </c>
      <c r="E121" s="69">
        <v>3237</v>
      </c>
      <c r="F121" s="64" t="str">
        <f t="shared" si="22"/>
        <v>Intelektualne i osobne usluge</v>
      </c>
      <c r="G121" s="102" t="s">
        <v>703</v>
      </c>
      <c r="H121" s="64" t="str">
        <f t="shared" si="14"/>
        <v>REDOVNA DJELATNOST SVEUČILIŠTA U ZAGREBU (IZ EVIDENCIJSKIH PRIHODA)</v>
      </c>
      <c r="I121" s="64" t="str">
        <f t="shared" si="15"/>
        <v>0942</v>
      </c>
      <c r="J121" s="101"/>
      <c r="K121" s="101"/>
      <c r="L121" s="101">
        <v>24272</v>
      </c>
      <c r="M121" s="68"/>
      <c r="O121" t="str">
        <f t="shared" si="16"/>
        <v>323</v>
      </c>
      <c r="P121" t="str">
        <f t="shared" si="17"/>
        <v>32</v>
      </c>
      <c r="Q121" t="str">
        <f t="shared" si="18"/>
        <v>61</v>
      </c>
      <c r="R121" t="str">
        <f t="shared" si="19"/>
        <v>94</v>
      </c>
      <c r="V121">
        <v>5183</v>
      </c>
      <c r="W121" t="s">
        <v>1003</v>
      </c>
      <c r="Y121" s="221" t="str">
        <f t="shared" si="25"/>
        <v>51</v>
      </c>
      <c r="Z121" t="str">
        <f t="shared" si="26"/>
        <v>518</v>
      </c>
      <c r="AB121" t="s">
        <v>1004</v>
      </c>
      <c r="AC121" t="s">
        <v>1005</v>
      </c>
      <c r="AD121" t="s">
        <v>664</v>
      </c>
      <c r="AE121" t="s">
        <v>665</v>
      </c>
      <c r="AF121" t="s">
        <v>644</v>
      </c>
      <c r="AG121" t="s">
        <v>666</v>
      </c>
    </row>
    <row r="122" spans="1:33">
      <c r="A122" s="64" t="str">
        <f>IF(C122="","",VLOOKUP('OPĆI DIO'!$C$3,'OPĆI DIO'!$L$6:$U$138,10,FALSE))</f>
        <v>08006</v>
      </c>
      <c r="B122" s="64" t="str">
        <f>IF(C122="","",VLOOKUP('OPĆI DIO'!$C$3,'OPĆI DIO'!$L$6:$U$138,9,FALSE))</f>
        <v>Sveučilišta i veleučilišta u Republici Hrvatskoj</v>
      </c>
      <c r="C122" s="69">
        <v>561</v>
      </c>
      <c r="D122" s="64" t="str">
        <f t="shared" si="13"/>
        <v>Europski socijalni fond (ESF)</v>
      </c>
      <c r="E122" s="69">
        <v>3221</v>
      </c>
      <c r="F122" s="64" t="str">
        <f t="shared" si="22"/>
        <v>Uredski materijal i ostali materijalni rashodi</v>
      </c>
      <c r="G122" s="102" t="s">
        <v>703</v>
      </c>
      <c r="H122" s="64" t="str">
        <f t="shared" si="14"/>
        <v>REDOVNA DJELATNOST SVEUČILIŠTA U ZAGREBU (IZ EVIDENCIJSKIH PRIHODA)</v>
      </c>
      <c r="I122" s="64" t="str">
        <f t="shared" si="15"/>
        <v>0942</v>
      </c>
      <c r="J122" s="101"/>
      <c r="K122" s="101"/>
      <c r="L122" s="101">
        <v>131</v>
      </c>
      <c r="M122" s="68"/>
      <c r="O122" t="str">
        <f t="shared" si="16"/>
        <v>322</v>
      </c>
      <c r="P122" t="str">
        <f t="shared" si="17"/>
        <v>32</v>
      </c>
      <c r="Q122" t="str">
        <f t="shared" si="18"/>
        <v>561</v>
      </c>
      <c r="R122" t="str">
        <f t="shared" si="19"/>
        <v>94</v>
      </c>
      <c r="V122">
        <v>5422</v>
      </c>
      <c r="W122" t="s">
        <v>1006</v>
      </c>
      <c r="Y122" s="221" t="str">
        <f t="shared" si="25"/>
        <v>54</v>
      </c>
      <c r="Z122" t="str">
        <f t="shared" si="26"/>
        <v>542</v>
      </c>
      <c r="AB122" t="s">
        <v>1007</v>
      </c>
      <c r="AC122" t="s">
        <v>1008</v>
      </c>
      <c r="AD122" t="s">
        <v>716</v>
      </c>
      <c r="AE122" t="s">
        <v>717</v>
      </c>
      <c r="AF122" t="s">
        <v>644</v>
      </c>
      <c r="AG122" t="s">
        <v>645</v>
      </c>
    </row>
    <row r="123" spans="1:33">
      <c r="A123" s="64" t="str">
        <f>IF(C123="","",VLOOKUP('OPĆI DIO'!$C$3,'OPĆI DIO'!$L$6:$U$138,10,FALSE))</f>
        <v>08006</v>
      </c>
      <c r="B123" s="64" t="str">
        <f>IF(C123="","",VLOOKUP('OPĆI DIO'!$C$3,'OPĆI DIO'!$L$6:$U$138,9,FALSE))</f>
        <v>Sveučilišta i veleučilišta u Republici Hrvatskoj</v>
      </c>
      <c r="C123" s="69">
        <v>561</v>
      </c>
      <c r="D123" s="64" t="str">
        <f t="shared" si="13"/>
        <v>Europski socijalni fond (ESF)</v>
      </c>
      <c r="E123" s="69">
        <v>4221</v>
      </c>
      <c r="F123" s="64" t="str">
        <f t="shared" si="22"/>
        <v>Uredska oprema i namještaj</v>
      </c>
      <c r="G123" s="102" t="s">
        <v>703</v>
      </c>
      <c r="H123" s="64" t="str">
        <f t="shared" si="14"/>
        <v>REDOVNA DJELATNOST SVEUČILIŠTA U ZAGREBU (IZ EVIDENCIJSKIH PRIHODA)</v>
      </c>
      <c r="I123" s="64" t="str">
        <f t="shared" si="15"/>
        <v>0942</v>
      </c>
      <c r="J123" s="101"/>
      <c r="K123" s="101"/>
      <c r="L123" s="101">
        <v>930</v>
      </c>
      <c r="M123" s="68"/>
      <c r="O123" t="str">
        <f t="shared" si="16"/>
        <v>422</v>
      </c>
      <c r="P123" t="str">
        <f t="shared" si="17"/>
        <v>42</v>
      </c>
      <c r="Q123" t="str">
        <f t="shared" si="18"/>
        <v>561</v>
      </c>
      <c r="R123" t="str">
        <f t="shared" si="19"/>
        <v>94</v>
      </c>
      <c r="V123">
        <v>5431</v>
      </c>
      <c r="W123" t="s">
        <v>1009</v>
      </c>
      <c r="Y123" s="221" t="str">
        <f t="shared" si="25"/>
        <v>54</v>
      </c>
      <c r="Z123" t="str">
        <f t="shared" si="26"/>
        <v>543</v>
      </c>
      <c r="AB123" t="s">
        <v>1010</v>
      </c>
      <c r="AC123" t="s">
        <v>1011</v>
      </c>
      <c r="AD123" t="s">
        <v>649</v>
      </c>
      <c r="AE123" t="s">
        <v>650</v>
      </c>
      <c r="AF123" t="s">
        <v>651</v>
      </c>
      <c r="AG123" t="s">
        <v>652</v>
      </c>
    </row>
    <row r="124" spans="1:33">
      <c r="A124" s="64" t="str">
        <f>IF(C124="","",VLOOKUP('OPĆI DIO'!$C$3,'OPĆI DIO'!$L$6:$U$138,10,FALSE))</f>
        <v>08006</v>
      </c>
      <c r="B124" s="64" t="str">
        <f>IF(C124="","",VLOOKUP('OPĆI DIO'!$C$3,'OPĆI DIO'!$L$6:$U$138,9,FALSE))</f>
        <v>Sveučilišta i veleučilišta u Republici Hrvatskoj</v>
      </c>
      <c r="C124" s="69">
        <v>561</v>
      </c>
      <c r="D124" s="64" t="str">
        <f t="shared" si="13"/>
        <v>Europski socijalni fond (ESF)</v>
      </c>
      <c r="E124" s="69">
        <v>4222</v>
      </c>
      <c r="F124" s="64" t="str">
        <f t="shared" si="22"/>
        <v>Komunikacijska oprema</v>
      </c>
      <c r="G124" s="102" t="s">
        <v>703</v>
      </c>
      <c r="H124" s="64" t="str">
        <f t="shared" si="14"/>
        <v>REDOVNA DJELATNOST SVEUČILIŠTA U ZAGREBU (IZ EVIDENCIJSKIH PRIHODA)</v>
      </c>
      <c r="I124" s="64" t="str">
        <f t="shared" si="15"/>
        <v>0942</v>
      </c>
      <c r="J124" s="101"/>
      <c r="K124" s="101"/>
      <c r="L124" s="101">
        <v>579</v>
      </c>
      <c r="M124" s="68"/>
      <c r="O124" t="str">
        <f t="shared" si="16"/>
        <v>422</v>
      </c>
      <c r="P124" t="str">
        <f t="shared" si="17"/>
        <v>42</v>
      </c>
      <c r="Q124" t="str">
        <f t="shared" si="18"/>
        <v>561</v>
      </c>
      <c r="R124" t="str">
        <f t="shared" si="19"/>
        <v>94</v>
      </c>
      <c r="V124">
        <v>5443</v>
      </c>
      <c r="W124" t="s">
        <v>1012</v>
      </c>
      <c r="Y124" s="221" t="str">
        <f t="shared" si="25"/>
        <v>54</v>
      </c>
      <c r="Z124" t="str">
        <f t="shared" si="26"/>
        <v>544</v>
      </c>
      <c r="AB124" t="s">
        <v>1013</v>
      </c>
      <c r="AC124" t="s">
        <v>1014</v>
      </c>
      <c r="AD124" t="s">
        <v>657</v>
      </c>
      <c r="AE124" t="s">
        <v>658</v>
      </c>
      <c r="AF124" t="s">
        <v>644</v>
      </c>
      <c r="AG124" t="s">
        <v>659</v>
      </c>
    </row>
    <row r="125" spans="1:33">
      <c r="A125" s="64" t="str">
        <f>IF(C125="","",VLOOKUP('OPĆI DIO'!$C$3,'OPĆI DIO'!$L$6:$U$138,10,FALSE))</f>
        <v>08006</v>
      </c>
      <c r="B125" s="64" t="str">
        <f>IF(C125="","",VLOOKUP('OPĆI DIO'!$C$3,'OPĆI DIO'!$L$6:$U$138,9,FALSE))</f>
        <v>Sveučilišta i veleučilišta u Republici Hrvatskoj</v>
      </c>
      <c r="C125" s="69">
        <v>51</v>
      </c>
      <c r="D125" s="64" t="str">
        <f t="shared" si="13"/>
        <v>Pomoći EU</v>
      </c>
      <c r="E125" s="69">
        <v>3225</v>
      </c>
      <c r="F125" s="64" t="str">
        <f t="shared" si="22"/>
        <v>Sitni inventar i auto gume</v>
      </c>
      <c r="G125" s="102" t="s">
        <v>703</v>
      </c>
      <c r="H125" s="64" t="str">
        <f t="shared" si="14"/>
        <v>REDOVNA DJELATNOST SVEUČILIŠTA U ZAGREBU (IZ EVIDENCIJSKIH PRIHODA)</v>
      </c>
      <c r="I125" s="64" t="str">
        <f t="shared" si="15"/>
        <v>0942</v>
      </c>
      <c r="J125" s="101"/>
      <c r="K125" s="101"/>
      <c r="L125" s="101">
        <v>148</v>
      </c>
      <c r="M125" s="68"/>
      <c r="O125" t="str">
        <f t="shared" si="16"/>
        <v>322</v>
      </c>
      <c r="P125" t="str">
        <f t="shared" si="17"/>
        <v>32</v>
      </c>
      <c r="Q125" t="str">
        <f t="shared" si="18"/>
        <v>51</v>
      </c>
      <c r="R125" t="str">
        <f t="shared" si="19"/>
        <v>94</v>
      </c>
      <c r="V125">
        <v>5445</v>
      </c>
      <c r="W125" t="s">
        <v>1015</v>
      </c>
      <c r="Y125" s="221" t="str">
        <f t="shared" si="25"/>
        <v>54</v>
      </c>
      <c r="Z125" t="str">
        <f t="shared" si="26"/>
        <v>544</v>
      </c>
      <c r="AB125" t="s">
        <v>1016</v>
      </c>
      <c r="AC125" t="s">
        <v>1017</v>
      </c>
      <c r="AD125" t="s">
        <v>642</v>
      </c>
      <c r="AE125" t="s">
        <v>643</v>
      </c>
      <c r="AF125" t="s">
        <v>644</v>
      </c>
      <c r="AG125" t="s">
        <v>645</v>
      </c>
    </row>
    <row r="126" spans="1:33">
      <c r="A126" s="64" t="str">
        <f>IF(C126="","",VLOOKUP('OPĆI DIO'!$C$3,'OPĆI DIO'!$L$6:$U$138,10,FALSE))</f>
        <v>08006</v>
      </c>
      <c r="B126" s="64" t="str">
        <f>IF(C126="","",VLOOKUP('OPĆI DIO'!$C$3,'OPĆI DIO'!$L$6:$U$138,9,FALSE))</f>
        <v>Sveučilišta i veleučilišta u Republici Hrvatskoj</v>
      </c>
      <c r="C126" s="69">
        <v>51</v>
      </c>
      <c r="D126" s="64" t="str">
        <f t="shared" si="13"/>
        <v>Pomoći EU</v>
      </c>
      <c r="E126" s="69">
        <v>3294</v>
      </c>
      <c r="F126" s="64" t="str">
        <f t="shared" si="22"/>
        <v>Članarine i norme</v>
      </c>
      <c r="G126" s="102" t="s">
        <v>703</v>
      </c>
      <c r="H126" s="64" t="str">
        <f t="shared" si="14"/>
        <v>REDOVNA DJELATNOST SVEUČILIŠTA U ZAGREBU (IZ EVIDENCIJSKIH PRIHODA)</v>
      </c>
      <c r="I126" s="64" t="str">
        <f t="shared" si="15"/>
        <v>0942</v>
      </c>
      <c r="J126" s="101"/>
      <c r="K126" s="101"/>
      <c r="L126" s="101">
        <v>373</v>
      </c>
      <c r="M126" s="68"/>
      <c r="O126" t="str">
        <f t="shared" si="16"/>
        <v>329</v>
      </c>
      <c r="P126" t="str">
        <f t="shared" si="17"/>
        <v>32</v>
      </c>
      <c r="Q126" t="str">
        <f t="shared" si="18"/>
        <v>51</v>
      </c>
      <c r="R126" t="str">
        <f t="shared" si="19"/>
        <v>94</v>
      </c>
      <c r="V126">
        <v>5453</v>
      </c>
      <c r="W126" t="s">
        <v>1018</v>
      </c>
      <c r="Y126" s="221" t="str">
        <f t="shared" si="25"/>
        <v>54</v>
      </c>
      <c r="Z126" t="str">
        <f t="shared" si="26"/>
        <v>545</v>
      </c>
      <c r="AB126" t="s">
        <v>1019</v>
      </c>
      <c r="AC126" t="s">
        <v>1020</v>
      </c>
      <c r="AD126" t="s">
        <v>780</v>
      </c>
      <c r="AE126" t="s">
        <v>781</v>
      </c>
      <c r="AF126" t="s">
        <v>644</v>
      </c>
      <c r="AG126" t="s">
        <v>782</v>
      </c>
    </row>
    <row r="127" spans="1:33">
      <c r="A127" s="64" t="str">
        <f>IF(C127="","",VLOOKUP('OPĆI DIO'!$C$3,'OPĆI DIO'!$L$6:$U$138,10,FALSE))</f>
        <v>08006</v>
      </c>
      <c r="B127" s="64" t="str">
        <f>IF(C127="","",VLOOKUP('OPĆI DIO'!$C$3,'OPĆI DIO'!$L$6:$U$138,9,FALSE))</f>
        <v>Sveučilišta i veleučilišta u Republici Hrvatskoj</v>
      </c>
      <c r="C127" s="69">
        <v>51</v>
      </c>
      <c r="D127" s="64" t="str">
        <f t="shared" si="13"/>
        <v>Pomoći EU</v>
      </c>
      <c r="E127" s="69">
        <v>3213</v>
      </c>
      <c r="F127" s="64" t="str">
        <f t="shared" si="22"/>
        <v>Stručno usavršavanje zaposlenika</v>
      </c>
      <c r="G127" s="102" t="s">
        <v>703</v>
      </c>
      <c r="H127" s="64" t="str">
        <f t="shared" si="14"/>
        <v>REDOVNA DJELATNOST SVEUČILIŠTA U ZAGREBU (IZ EVIDENCIJSKIH PRIHODA)</v>
      </c>
      <c r="I127" s="64" t="str">
        <f t="shared" si="15"/>
        <v>0942</v>
      </c>
      <c r="J127" s="101"/>
      <c r="K127" s="101"/>
      <c r="L127" s="101">
        <v>930</v>
      </c>
      <c r="M127" s="68"/>
      <c r="O127" t="str">
        <f t="shared" si="16"/>
        <v>321</v>
      </c>
      <c r="P127" t="str">
        <f t="shared" si="17"/>
        <v>32</v>
      </c>
      <c r="Q127" t="str">
        <f t="shared" si="18"/>
        <v>51</v>
      </c>
      <c r="R127" t="str">
        <f t="shared" si="19"/>
        <v>94</v>
      </c>
      <c r="V127">
        <v>5472</v>
      </c>
      <c r="W127" t="s">
        <v>1021</v>
      </c>
      <c r="Y127" s="221" t="str">
        <f t="shared" si="25"/>
        <v>54</v>
      </c>
      <c r="Z127" t="str">
        <f t="shared" si="26"/>
        <v>547</v>
      </c>
      <c r="AB127" t="s">
        <v>1022</v>
      </c>
      <c r="AC127" t="s">
        <v>1023</v>
      </c>
      <c r="AD127" t="s">
        <v>649</v>
      </c>
      <c r="AE127" t="s">
        <v>650</v>
      </c>
      <c r="AF127" t="s">
        <v>651</v>
      </c>
      <c r="AG127" t="s">
        <v>652</v>
      </c>
    </row>
    <row r="128" spans="1:33">
      <c r="A128" s="64" t="str">
        <f>IF(C128="","",VLOOKUP('OPĆI DIO'!$C$3,'OPĆI DIO'!$L$6:$U$138,10,FALSE))</f>
        <v>08006</v>
      </c>
      <c r="B128" s="64" t="str">
        <f>IF(C128="","",VLOOKUP('OPĆI DIO'!$C$3,'OPĆI DIO'!$L$6:$U$138,9,FALSE))</f>
        <v>Sveučilišta i veleučilišta u Republici Hrvatskoj</v>
      </c>
      <c r="C128" s="69">
        <v>11</v>
      </c>
      <c r="D128" s="64" t="str">
        <f t="shared" si="13"/>
        <v>Opći prihodi i primici</v>
      </c>
      <c r="E128" s="69">
        <v>3231</v>
      </c>
      <c r="F128" s="64" t="str">
        <f t="shared" si="22"/>
        <v>Usluge telefona, pošte i prijevoza</v>
      </c>
      <c r="G128" s="102" t="s">
        <v>634</v>
      </c>
      <c r="H128" s="64" t="str">
        <f t="shared" si="14"/>
        <v>REDOVNA DJELATNOST SVEUČILIŠTA U ZAGREBU</v>
      </c>
      <c r="I128" s="64" t="str">
        <f t="shared" si="15"/>
        <v>0942</v>
      </c>
      <c r="J128" s="101"/>
      <c r="K128" s="101"/>
      <c r="L128" s="101">
        <v>4985</v>
      </c>
      <c r="M128" s="68"/>
      <c r="O128" t="str">
        <f t="shared" si="16"/>
        <v>323</v>
      </c>
      <c r="P128" t="str">
        <f t="shared" si="17"/>
        <v>32</v>
      </c>
      <c r="Q128" t="str">
        <f t="shared" si="18"/>
        <v>11</v>
      </c>
      <c r="R128" t="str">
        <f t="shared" si="19"/>
        <v>94</v>
      </c>
      <c r="AB128" t="s">
        <v>1024</v>
      </c>
      <c r="AC128" t="s">
        <v>1025</v>
      </c>
      <c r="AD128" t="s">
        <v>657</v>
      </c>
      <c r="AE128" t="s">
        <v>658</v>
      </c>
      <c r="AF128" t="s">
        <v>644</v>
      </c>
      <c r="AG128" t="s">
        <v>659</v>
      </c>
    </row>
    <row r="129" spans="1:33">
      <c r="A129" s="64" t="str">
        <f>IF(C129="","",VLOOKUP('OPĆI DIO'!$C$3,'OPĆI DIO'!$L$6:$U$138,10,FALSE))</f>
        <v>08006</v>
      </c>
      <c r="B129" s="64" t="str">
        <f>IF(C129="","",VLOOKUP('OPĆI DIO'!$C$3,'OPĆI DIO'!$L$6:$U$138,9,FALSE))</f>
        <v>Sveučilišta i veleučilišta u Republici Hrvatskoj</v>
      </c>
      <c r="C129" s="69">
        <v>11</v>
      </c>
      <c r="D129" s="64" t="str">
        <f t="shared" si="13"/>
        <v>Opći prihodi i primici</v>
      </c>
      <c r="E129" s="69">
        <v>3236</v>
      </c>
      <c r="F129" s="64" t="str">
        <f t="shared" si="22"/>
        <v>Zdravstvene i veterinarske usluge</v>
      </c>
      <c r="G129" s="102" t="s">
        <v>634</v>
      </c>
      <c r="H129" s="64" t="str">
        <f t="shared" si="14"/>
        <v>REDOVNA DJELATNOST SVEUČILIŠTA U ZAGREBU</v>
      </c>
      <c r="I129" s="64" t="str">
        <f t="shared" si="15"/>
        <v>0942</v>
      </c>
      <c r="J129" s="101">
        <v>697</v>
      </c>
      <c r="K129" s="101"/>
      <c r="L129" s="101"/>
      <c r="M129" s="68"/>
      <c r="O129" t="str">
        <f t="shared" ref="O129:O192" si="27">LEFT(E129,3)</f>
        <v>323</v>
      </c>
      <c r="P129" t="str">
        <f t="shared" ref="P129:P192" si="28">LEFT(E129,2)</f>
        <v>32</v>
      </c>
      <c r="Q129" t="str">
        <f t="shared" ref="Q129:Q192" si="29">LEFT(C129,3)</f>
        <v>11</v>
      </c>
      <c r="R129" t="str">
        <f t="shared" ref="R129:R192" si="30">MID(I129,2,2)</f>
        <v>94</v>
      </c>
      <c r="AB129" t="s">
        <v>1026</v>
      </c>
      <c r="AC129" t="s">
        <v>1027</v>
      </c>
      <c r="AD129" t="s">
        <v>649</v>
      </c>
      <c r="AE129" t="s">
        <v>650</v>
      </c>
      <c r="AF129" t="s">
        <v>651</v>
      </c>
      <c r="AG129" t="s">
        <v>652</v>
      </c>
    </row>
    <row r="130" spans="1:33">
      <c r="A130" s="64" t="str">
        <f>IF(C130="","",VLOOKUP('OPĆI DIO'!$C$3,'OPĆI DIO'!$L$6:$U$138,10,FALSE))</f>
        <v>08006</v>
      </c>
      <c r="B130" s="64" t="str">
        <f>IF(C130="","",VLOOKUP('OPĆI DIO'!$C$3,'OPĆI DIO'!$L$6:$U$138,9,FALSE))</f>
        <v>Sveučilišta i veleučilišta u Republici Hrvatskoj</v>
      </c>
      <c r="C130" s="69">
        <v>12</v>
      </c>
      <c r="D130" s="64" t="str">
        <f t="shared" si="13"/>
        <v>Sredstva učešća za pomoći</v>
      </c>
      <c r="E130" s="69">
        <v>3211</v>
      </c>
      <c r="F130" s="64" t="str">
        <f t="shared" si="22"/>
        <v>Službena putovanja</v>
      </c>
      <c r="G130" s="102" t="s">
        <v>634</v>
      </c>
      <c r="H130" s="64" t="str">
        <f t="shared" si="14"/>
        <v>REDOVNA DJELATNOST SVEUČILIŠTA U ZAGREBU</v>
      </c>
      <c r="I130" s="64" t="str">
        <f t="shared" si="15"/>
        <v>0942</v>
      </c>
      <c r="J130" s="101">
        <f>73+216</f>
        <v>289</v>
      </c>
      <c r="K130" s="101"/>
      <c r="L130" s="101"/>
      <c r="M130" s="68"/>
      <c r="O130" t="str">
        <f t="shared" si="27"/>
        <v>321</v>
      </c>
      <c r="P130" t="str">
        <f t="shared" si="28"/>
        <v>32</v>
      </c>
      <c r="Q130" t="str">
        <f t="shared" si="29"/>
        <v>12</v>
      </c>
      <c r="R130" t="str">
        <f t="shared" si="30"/>
        <v>94</v>
      </c>
      <c r="AB130" t="s">
        <v>1028</v>
      </c>
      <c r="AC130" t="s">
        <v>1029</v>
      </c>
      <c r="AD130" t="s">
        <v>780</v>
      </c>
      <c r="AE130" t="s">
        <v>781</v>
      </c>
      <c r="AF130" t="s">
        <v>644</v>
      </c>
      <c r="AG130" t="s">
        <v>782</v>
      </c>
    </row>
    <row r="131" spans="1:33">
      <c r="A131" s="64" t="str">
        <f>IF(C131="","",VLOOKUP('OPĆI DIO'!$C$3,'OPĆI DIO'!$L$6:$U$138,10,FALSE))</f>
        <v>08006</v>
      </c>
      <c r="B131" s="64" t="str">
        <f>IF(C131="","",VLOOKUP('OPĆI DIO'!$C$3,'OPĆI DIO'!$L$6:$U$138,9,FALSE))</f>
        <v>Sveučilišta i veleučilišta u Republici Hrvatskoj</v>
      </c>
      <c r="C131" s="69">
        <v>12</v>
      </c>
      <c r="D131" s="64" t="str">
        <f t="shared" ref="D131:D194" si="31">IFERROR(VLOOKUP(C131,$S$6:$T$24,2,FALSE),"")</f>
        <v>Sredstva učešća za pomoći</v>
      </c>
      <c r="E131" s="69">
        <v>3293</v>
      </c>
      <c r="F131" s="64" t="str">
        <f t="shared" si="22"/>
        <v>Reprezentacija</v>
      </c>
      <c r="G131" s="102" t="s">
        <v>634</v>
      </c>
      <c r="H131" s="64" t="str">
        <f t="shared" ref="H131:H194" si="32">IFERROR(VLOOKUP(G131,$AB$6:$AC$324,2,FALSE),"")</f>
        <v>REDOVNA DJELATNOST SVEUČILIŠTA U ZAGREBU</v>
      </c>
      <c r="I131" s="64" t="str">
        <f t="shared" ref="I131:I194" si="33">IFERROR(VLOOKUP(G131,$AB$6:$AF$324,3,FALSE),"")</f>
        <v>0942</v>
      </c>
      <c r="J131" s="101">
        <v>1224</v>
      </c>
      <c r="K131" s="101"/>
      <c r="L131" s="101"/>
      <c r="M131" s="68"/>
      <c r="O131" t="str">
        <f t="shared" si="27"/>
        <v>329</v>
      </c>
      <c r="P131" t="str">
        <f t="shared" si="28"/>
        <v>32</v>
      </c>
      <c r="Q131" t="str">
        <f t="shared" si="29"/>
        <v>12</v>
      </c>
      <c r="R131" t="str">
        <f t="shared" si="30"/>
        <v>94</v>
      </c>
      <c r="AB131" t="s">
        <v>1030</v>
      </c>
      <c r="AC131" t="s">
        <v>1031</v>
      </c>
      <c r="AD131" t="s">
        <v>780</v>
      </c>
      <c r="AE131" t="s">
        <v>781</v>
      </c>
      <c r="AF131" t="s">
        <v>644</v>
      </c>
      <c r="AG131" t="s">
        <v>782</v>
      </c>
    </row>
    <row r="132" spans="1:33">
      <c r="A132" s="64" t="str">
        <f>IF(C132="","",VLOOKUP('OPĆI DIO'!$C$3,'OPĆI DIO'!$L$6:$U$138,10,FALSE))</f>
        <v>08006</v>
      </c>
      <c r="B132" s="64" t="str">
        <f>IF(C132="","",VLOOKUP('OPĆI DIO'!$C$3,'OPĆI DIO'!$L$6:$U$138,9,FALSE))</f>
        <v>Sveučilišta i veleučilišta u Republici Hrvatskoj</v>
      </c>
      <c r="C132" s="69">
        <v>12</v>
      </c>
      <c r="D132" s="64" t="str">
        <f t="shared" si="31"/>
        <v>Sredstva učešća za pomoći</v>
      </c>
      <c r="E132" s="69">
        <v>3531</v>
      </c>
      <c r="F132" s="64" t="str">
        <f t="shared" si="22"/>
        <v>Subvencije trgovačkim društvima, zadrugama, poljoprivrednici</v>
      </c>
      <c r="G132" s="102" t="s">
        <v>634</v>
      </c>
      <c r="H132" s="64" t="str">
        <f t="shared" si="32"/>
        <v>REDOVNA DJELATNOST SVEUČILIŠTA U ZAGREBU</v>
      </c>
      <c r="I132" s="64" t="str">
        <f t="shared" si="33"/>
        <v>0942</v>
      </c>
      <c r="J132" s="101">
        <v>3401</v>
      </c>
      <c r="K132" s="101"/>
      <c r="L132" s="101"/>
      <c r="M132" s="68"/>
      <c r="O132" t="str">
        <f t="shared" si="27"/>
        <v>353</v>
      </c>
      <c r="P132" t="str">
        <f t="shared" si="28"/>
        <v>35</v>
      </c>
      <c r="Q132" t="str">
        <f t="shared" si="29"/>
        <v>12</v>
      </c>
      <c r="R132" t="str">
        <f t="shared" si="30"/>
        <v>94</v>
      </c>
      <c r="AB132" t="s">
        <v>1030</v>
      </c>
      <c r="AC132" t="s">
        <v>1031</v>
      </c>
      <c r="AD132" t="s">
        <v>657</v>
      </c>
      <c r="AE132" t="s">
        <v>658</v>
      </c>
      <c r="AF132" t="s">
        <v>644</v>
      </c>
      <c r="AG132" t="s">
        <v>659</v>
      </c>
    </row>
    <row r="133" spans="1:33">
      <c r="A133" s="64" t="str">
        <f>IF(C133="","",VLOOKUP('OPĆI DIO'!$C$3,'OPĆI DIO'!$L$6:$U$138,10,FALSE))</f>
        <v>08006</v>
      </c>
      <c r="B133" s="64" t="str">
        <f>IF(C133="","",VLOOKUP('OPĆI DIO'!$C$3,'OPĆI DIO'!$L$6:$U$138,9,FALSE))</f>
        <v>Sveučilišta i veleučilišta u Republici Hrvatskoj</v>
      </c>
      <c r="C133" s="69">
        <v>11</v>
      </c>
      <c r="D133" s="64" t="str">
        <f t="shared" si="31"/>
        <v>Opći prihodi i primici</v>
      </c>
      <c r="E133" s="69">
        <v>3111</v>
      </c>
      <c r="F133" s="64" t="str">
        <f t="shared" si="22"/>
        <v>Plaće za redovan rad</v>
      </c>
      <c r="G133" s="102" t="s">
        <v>1032</v>
      </c>
      <c r="H133" s="64" t="str">
        <f t="shared" si="32"/>
        <v>PRAVOMOĆNE SUDSKE PRESUDE</v>
      </c>
      <c r="I133" s="64" t="str">
        <f t="shared" si="33"/>
        <v>0942</v>
      </c>
      <c r="J133" s="101"/>
      <c r="K133" s="101"/>
      <c r="L133" s="101">
        <v>11051</v>
      </c>
      <c r="M133" s="68"/>
      <c r="O133" t="str">
        <f t="shared" si="27"/>
        <v>311</v>
      </c>
      <c r="P133" t="str">
        <f t="shared" si="28"/>
        <v>31</v>
      </c>
      <c r="Q133" t="str">
        <f t="shared" si="29"/>
        <v>11</v>
      </c>
      <c r="R133" t="str">
        <f t="shared" si="30"/>
        <v>94</v>
      </c>
      <c r="AB133" t="s">
        <v>1033</v>
      </c>
      <c r="AC133" t="s">
        <v>1034</v>
      </c>
      <c r="AD133" t="s">
        <v>657</v>
      </c>
      <c r="AE133" t="s">
        <v>658</v>
      </c>
      <c r="AF133" t="s">
        <v>644</v>
      </c>
      <c r="AG133" t="s">
        <v>659</v>
      </c>
    </row>
    <row r="134" spans="1:33">
      <c r="A134" s="64" t="str">
        <f>IF(C134="","",VLOOKUP('OPĆI DIO'!$C$3,'OPĆI DIO'!$L$6:$U$138,10,FALSE))</f>
        <v>08006</v>
      </c>
      <c r="B134" s="64" t="str">
        <f>IF(C134="","",VLOOKUP('OPĆI DIO'!$C$3,'OPĆI DIO'!$L$6:$U$138,9,FALSE))</f>
        <v>Sveučilišta i veleučilišta u Republici Hrvatskoj</v>
      </c>
      <c r="C134" s="69">
        <v>11</v>
      </c>
      <c r="D134" s="64" t="str">
        <f t="shared" si="31"/>
        <v>Opći prihodi i primici</v>
      </c>
      <c r="E134" s="69">
        <v>3132</v>
      </c>
      <c r="F134" s="64" t="str">
        <f t="shared" si="22"/>
        <v>Doprinosi za obvezno zdravstveno osiguranje</v>
      </c>
      <c r="G134" s="102" t="s">
        <v>1032</v>
      </c>
      <c r="H134" s="64" t="str">
        <f t="shared" si="32"/>
        <v>PRAVOMOĆNE SUDSKE PRESUDE</v>
      </c>
      <c r="I134" s="64" t="str">
        <f t="shared" si="33"/>
        <v>0942</v>
      </c>
      <c r="J134" s="101"/>
      <c r="K134" s="101"/>
      <c r="L134" s="101">
        <v>1642</v>
      </c>
      <c r="M134" s="68"/>
      <c r="O134" t="str">
        <f t="shared" si="27"/>
        <v>313</v>
      </c>
      <c r="P134" t="str">
        <f t="shared" si="28"/>
        <v>31</v>
      </c>
      <c r="Q134" t="str">
        <f t="shared" si="29"/>
        <v>11</v>
      </c>
      <c r="R134" t="str">
        <f t="shared" si="30"/>
        <v>94</v>
      </c>
      <c r="AB134" t="s">
        <v>1035</v>
      </c>
      <c r="AC134" t="s">
        <v>1036</v>
      </c>
      <c r="AD134" t="s">
        <v>716</v>
      </c>
      <c r="AE134" t="s">
        <v>717</v>
      </c>
      <c r="AF134" t="s">
        <v>644</v>
      </c>
      <c r="AG134" t="s">
        <v>645</v>
      </c>
    </row>
    <row r="135" spans="1:33">
      <c r="A135" s="64" t="str">
        <f>IF(C135="","",VLOOKUP('OPĆI DIO'!$C$3,'OPĆI DIO'!$L$6:$U$138,10,FALSE))</f>
        <v>08006</v>
      </c>
      <c r="B135" s="64" t="str">
        <f>IF(C135="","",VLOOKUP('OPĆI DIO'!$C$3,'OPĆI DIO'!$L$6:$U$138,9,FALSE))</f>
        <v>Sveučilišta i veleučilišta u Republici Hrvatskoj</v>
      </c>
      <c r="C135" s="69">
        <v>11</v>
      </c>
      <c r="D135" s="64" t="str">
        <f t="shared" si="31"/>
        <v>Opći prihodi i primici</v>
      </c>
      <c r="E135" s="69">
        <v>3433</v>
      </c>
      <c r="F135" s="64" t="str">
        <f t="shared" si="22"/>
        <v>Zatezne kamate</v>
      </c>
      <c r="G135" s="102" t="s">
        <v>1032</v>
      </c>
      <c r="H135" s="64" t="str">
        <f t="shared" si="32"/>
        <v>PRAVOMOĆNE SUDSKE PRESUDE</v>
      </c>
      <c r="I135" s="64" t="str">
        <f t="shared" si="33"/>
        <v>0942</v>
      </c>
      <c r="J135" s="101"/>
      <c r="K135" s="101"/>
      <c r="L135" s="101">
        <v>1220</v>
      </c>
      <c r="M135" s="68"/>
      <c r="O135" t="str">
        <f t="shared" si="27"/>
        <v>343</v>
      </c>
      <c r="P135" t="str">
        <f t="shared" si="28"/>
        <v>34</v>
      </c>
      <c r="Q135" t="str">
        <f t="shared" si="29"/>
        <v>11</v>
      </c>
      <c r="R135" t="str">
        <f t="shared" si="30"/>
        <v>94</v>
      </c>
      <c r="AB135" t="s">
        <v>1037</v>
      </c>
      <c r="AC135" t="s">
        <v>1038</v>
      </c>
      <c r="AD135" t="s">
        <v>649</v>
      </c>
      <c r="AE135" t="s">
        <v>650</v>
      </c>
      <c r="AF135" t="s">
        <v>651</v>
      </c>
      <c r="AG135" t="s">
        <v>652</v>
      </c>
    </row>
    <row r="136" spans="1:33">
      <c r="A136" s="64" t="str">
        <f>IF(C136="","",VLOOKUP('OPĆI DIO'!$C$3,'OPĆI DIO'!$L$6:$U$138,10,FALSE))</f>
        <v>08006</v>
      </c>
      <c r="B136" s="64" t="str">
        <f>IF(C136="","",VLOOKUP('OPĆI DIO'!$C$3,'OPĆI DIO'!$L$6:$U$138,9,FALSE))</f>
        <v>Sveučilišta i veleučilišta u Republici Hrvatskoj</v>
      </c>
      <c r="C136" s="69">
        <v>11</v>
      </c>
      <c r="D136" s="64" t="str">
        <f t="shared" si="31"/>
        <v>Opći prihodi i primici</v>
      </c>
      <c r="E136" s="69">
        <v>3434</v>
      </c>
      <c r="F136" s="64" t="str">
        <f t="shared" si="22"/>
        <v>Ostali nespomenuti financijski rashodi</v>
      </c>
      <c r="G136" s="102" t="s">
        <v>1032</v>
      </c>
      <c r="H136" s="64" t="str">
        <f t="shared" si="32"/>
        <v>PRAVOMOĆNE SUDSKE PRESUDE</v>
      </c>
      <c r="I136" s="64" t="str">
        <f t="shared" si="33"/>
        <v>0942</v>
      </c>
      <c r="J136" s="101"/>
      <c r="K136" s="101"/>
      <c r="L136" s="101">
        <v>2986</v>
      </c>
      <c r="M136" s="68"/>
      <c r="O136" t="str">
        <f t="shared" si="27"/>
        <v>343</v>
      </c>
      <c r="P136" t="str">
        <f t="shared" si="28"/>
        <v>34</v>
      </c>
      <c r="Q136" t="str">
        <f t="shared" si="29"/>
        <v>11</v>
      </c>
      <c r="R136" t="str">
        <f t="shared" si="30"/>
        <v>94</v>
      </c>
      <c r="AB136" t="s">
        <v>1039</v>
      </c>
      <c r="AC136" t="s">
        <v>1040</v>
      </c>
      <c r="AD136" t="s">
        <v>642</v>
      </c>
      <c r="AE136" t="s">
        <v>643</v>
      </c>
      <c r="AF136" t="s">
        <v>644</v>
      </c>
      <c r="AG136" t="s">
        <v>645</v>
      </c>
    </row>
    <row r="137" spans="1:33">
      <c r="A137" s="64" t="str">
        <f>IF(C137="","",VLOOKUP('OPĆI DIO'!$C$3,'OPĆI DIO'!$L$6:$U$138,10,FALSE))</f>
        <v>08006</v>
      </c>
      <c r="B137" s="64" t="str">
        <f>IF(C137="","",VLOOKUP('OPĆI DIO'!$C$3,'OPĆI DIO'!$L$6:$U$138,9,FALSE))</f>
        <v>Sveučilišta i veleučilišta u Republici Hrvatskoj</v>
      </c>
      <c r="C137" s="69">
        <v>43</v>
      </c>
      <c r="D137" s="64" t="str">
        <f t="shared" si="31"/>
        <v>Ostali prihodi za posebne namjene</v>
      </c>
      <c r="E137" s="69">
        <v>3111</v>
      </c>
      <c r="F137" s="64" t="str">
        <f t="shared" si="22"/>
        <v>Plaće za redovan rad</v>
      </c>
      <c r="G137" s="102" t="s">
        <v>1032</v>
      </c>
      <c r="H137" s="64" t="str">
        <f t="shared" si="32"/>
        <v>PRAVOMOĆNE SUDSKE PRESUDE</v>
      </c>
      <c r="I137" s="64" t="str">
        <f t="shared" si="33"/>
        <v>0942</v>
      </c>
      <c r="J137" s="101"/>
      <c r="K137" s="101"/>
      <c r="L137" s="101">
        <v>6191</v>
      </c>
      <c r="M137" s="68"/>
      <c r="O137" t="str">
        <f t="shared" si="27"/>
        <v>311</v>
      </c>
      <c r="P137" t="str">
        <f t="shared" si="28"/>
        <v>31</v>
      </c>
      <c r="Q137" t="str">
        <f t="shared" si="29"/>
        <v>43</v>
      </c>
      <c r="R137" t="str">
        <f t="shared" si="30"/>
        <v>94</v>
      </c>
      <c r="AB137" t="s">
        <v>1041</v>
      </c>
      <c r="AC137" t="s">
        <v>1042</v>
      </c>
      <c r="AD137" t="s">
        <v>1043</v>
      </c>
      <c r="AE137" t="s">
        <v>1044</v>
      </c>
      <c r="AF137" t="s">
        <v>644</v>
      </c>
      <c r="AG137" t="s">
        <v>1045</v>
      </c>
    </row>
    <row r="138" spans="1:33">
      <c r="A138" s="64" t="str">
        <f>IF(C138="","",VLOOKUP('OPĆI DIO'!$C$3,'OPĆI DIO'!$L$6:$U$138,10,FALSE))</f>
        <v>08006</v>
      </c>
      <c r="B138" s="64" t="str">
        <f>IF(C138="","",VLOOKUP('OPĆI DIO'!$C$3,'OPĆI DIO'!$L$6:$U$138,9,FALSE))</f>
        <v>Sveučilišta i veleučilišta u Republici Hrvatskoj</v>
      </c>
      <c r="C138" s="69">
        <v>43</v>
      </c>
      <c r="D138" s="64" t="str">
        <f t="shared" si="31"/>
        <v>Ostali prihodi za posebne namjene</v>
      </c>
      <c r="E138" s="69">
        <v>3132</v>
      </c>
      <c r="F138" s="64" t="str">
        <f t="shared" si="22"/>
        <v>Doprinosi za obvezno zdravstveno osiguranje</v>
      </c>
      <c r="G138" s="102" t="s">
        <v>1032</v>
      </c>
      <c r="H138" s="64" t="str">
        <f t="shared" si="32"/>
        <v>PRAVOMOĆNE SUDSKE PRESUDE</v>
      </c>
      <c r="I138" s="64" t="str">
        <f t="shared" si="33"/>
        <v>0942</v>
      </c>
      <c r="J138" s="101"/>
      <c r="K138" s="101"/>
      <c r="L138" s="101">
        <v>1067</v>
      </c>
      <c r="M138" s="68"/>
      <c r="O138" t="str">
        <f t="shared" si="27"/>
        <v>313</v>
      </c>
      <c r="P138" t="str">
        <f t="shared" si="28"/>
        <v>31</v>
      </c>
      <c r="Q138" t="str">
        <f t="shared" si="29"/>
        <v>43</v>
      </c>
      <c r="R138" t="str">
        <f t="shared" si="30"/>
        <v>94</v>
      </c>
      <c r="AB138" t="s">
        <v>1046</v>
      </c>
      <c r="AC138" t="s">
        <v>1047</v>
      </c>
      <c r="AD138" t="s">
        <v>642</v>
      </c>
      <c r="AE138" t="s">
        <v>643</v>
      </c>
      <c r="AF138" t="s">
        <v>644</v>
      </c>
      <c r="AG138" t="s">
        <v>645</v>
      </c>
    </row>
    <row r="139" spans="1:33">
      <c r="A139" s="64" t="str">
        <f>IF(C139="","",VLOOKUP('OPĆI DIO'!$C$3,'OPĆI DIO'!$L$6:$U$138,10,FALSE))</f>
        <v>08006</v>
      </c>
      <c r="B139" s="64" t="str">
        <f>IF(C139="","",VLOOKUP('OPĆI DIO'!$C$3,'OPĆI DIO'!$L$6:$U$138,9,FALSE))</f>
        <v>Sveučilišta i veleučilišta u Republici Hrvatskoj</v>
      </c>
      <c r="C139" s="69">
        <v>43</v>
      </c>
      <c r="D139" s="64" t="str">
        <f t="shared" si="31"/>
        <v>Ostali prihodi za posebne namjene</v>
      </c>
      <c r="E139" s="69">
        <v>3295</v>
      </c>
      <c r="F139" s="64" t="str">
        <f t="shared" si="22"/>
        <v>Pristojbe i naknade</v>
      </c>
      <c r="G139" s="102" t="s">
        <v>1032</v>
      </c>
      <c r="H139" s="64" t="str">
        <f t="shared" si="32"/>
        <v>PRAVOMOĆNE SUDSKE PRESUDE</v>
      </c>
      <c r="I139" s="64" t="str">
        <f t="shared" si="33"/>
        <v>0942</v>
      </c>
      <c r="J139" s="101"/>
      <c r="K139" s="101"/>
      <c r="L139" s="101">
        <v>252</v>
      </c>
      <c r="M139" s="68"/>
      <c r="O139" t="str">
        <f t="shared" si="27"/>
        <v>329</v>
      </c>
      <c r="P139" t="str">
        <f t="shared" si="28"/>
        <v>32</v>
      </c>
      <c r="Q139" t="str">
        <f t="shared" si="29"/>
        <v>43</v>
      </c>
      <c r="R139" t="str">
        <f t="shared" si="30"/>
        <v>94</v>
      </c>
      <c r="AB139" t="s">
        <v>1048</v>
      </c>
      <c r="AC139" t="s">
        <v>1049</v>
      </c>
      <c r="AD139" t="s">
        <v>780</v>
      </c>
      <c r="AE139" t="s">
        <v>781</v>
      </c>
      <c r="AF139" t="s">
        <v>644</v>
      </c>
      <c r="AG139" t="s">
        <v>782</v>
      </c>
    </row>
    <row r="140" spans="1:33">
      <c r="A140" s="64" t="str">
        <f>IF(C140="","",VLOOKUP('OPĆI DIO'!$C$3,'OPĆI DIO'!$L$6:$U$138,10,FALSE))</f>
        <v>08006</v>
      </c>
      <c r="B140" s="64" t="str">
        <f>IF(C140="","",VLOOKUP('OPĆI DIO'!$C$3,'OPĆI DIO'!$L$6:$U$138,9,FALSE))</f>
        <v>Sveučilišta i veleučilišta u Republici Hrvatskoj</v>
      </c>
      <c r="C140" s="69">
        <v>43</v>
      </c>
      <c r="D140" s="64" t="str">
        <f t="shared" si="31"/>
        <v>Ostali prihodi za posebne namjene</v>
      </c>
      <c r="E140" s="69">
        <v>3431</v>
      </c>
      <c r="F140" s="64" t="str">
        <f t="shared" si="22"/>
        <v>Bankarske usluge i usluge platnog prometa</v>
      </c>
      <c r="G140" s="102" t="s">
        <v>1032</v>
      </c>
      <c r="H140" s="64" t="str">
        <f t="shared" si="32"/>
        <v>PRAVOMOĆNE SUDSKE PRESUDE</v>
      </c>
      <c r="I140" s="64" t="str">
        <f t="shared" si="33"/>
        <v>0942</v>
      </c>
      <c r="J140" s="101"/>
      <c r="K140" s="101"/>
      <c r="L140" s="101">
        <v>9</v>
      </c>
      <c r="M140" s="68"/>
      <c r="O140" t="str">
        <f t="shared" si="27"/>
        <v>343</v>
      </c>
      <c r="P140" t="str">
        <f t="shared" si="28"/>
        <v>34</v>
      </c>
      <c r="Q140" t="str">
        <f t="shared" si="29"/>
        <v>43</v>
      </c>
      <c r="R140" t="str">
        <f t="shared" si="30"/>
        <v>94</v>
      </c>
      <c r="AB140" t="s">
        <v>1050</v>
      </c>
      <c r="AC140" t="s">
        <v>1051</v>
      </c>
      <c r="AD140" t="s">
        <v>657</v>
      </c>
      <c r="AE140" t="s">
        <v>658</v>
      </c>
      <c r="AF140" t="s">
        <v>644</v>
      </c>
      <c r="AG140" t="s">
        <v>659</v>
      </c>
    </row>
    <row r="141" spans="1:33">
      <c r="A141" s="64" t="str">
        <f>IF(C141="","",VLOOKUP('OPĆI DIO'!$C$3,'OPĆI DIO'!$L$6:$U$138,10,FALSE))</f>
        <v>08006</v>
      </c>
      <c r="B141" s="64" t="str">
        <f>IF(C141="","",VLOOKUP('OPĆI DIO'!$C$3,'OPĆI DIO'!$L$6:$U$138,9,FALSE))</f>
        <v>Sveučilišta i veleučilišta u Republici Hrvatskoj</v>
      </c>
      <c r="C141" s="69">
        <v>43</v>
      </c>
      <c r="D141" s="64" t="str">
        <f t="shared" si="31"/>
        <v>Ostali prihodi za posebne namjene</v>
      </c>
      <c r="E141" s="69">
        <v>3433</v>
      </c>
      <c r="F141" s="64" t="str">
        <f t="shared" si="22"/>
        <v>Zatezne kamate</v>
      </c>
      <c r="G141" s="102" t="s">
        <v>1032</v>
      </c>
      <c r="H141" s="64" t="str">
        <f t="shared" si="32"/>
        <v>PRAVOMOĆNE SUDSKE PRESUDE</v>
      </c>
      <c r="I141" s="64" t="str">
        <f t="shared" si="33"/>
        <v>0942</v>
      </c>
      <c r="J141" s="101"/>
      <c r="K141" s="101"/>
      <c r="L141" s="101">
        <f>76+916</f>
        <v>992</v>
      </c>
      <c r="M141" s="68"/>
      <c r="O141" t="str">
        <f t="shared" si="27"/>
        <v>343</v>
      </c>
      <c r="P141" t="str">
        <f t="shared" si="28"/>
        <v>34</v>
      </c>
      <c r="Q141" t="str">
        <f t="shared" si="29"/>
        <v>43</v>
      </c>
      <c r="R141" t="str">
        <f t="shared" si="30"/>
        <v>94</v>
      </c>
      <c r="AB141" t="s">
        <v>1052</v>
      </c>
      <c r="AC141" t="s">
        <v>1053</v>
      </c>
      <c r="AD141" t="s">
        <v>642</v>
      </c>
      <c r="AE141" t="s">
        <v>643</v>
      </c>
      <c r="AF141" t="s">
        <v>644</v>
      </c>
      <c r="AG141" t="s">
        <v>645</v>
      </c>
    </row>
    <row r="142" spans="1:33">
      <c r="A142" s="64" t="str">
        <f>IF(C142="","",VLOOKUP('OPĆI DIO'!$C$3,'OPĆI DIO'!$L$6:$U$138,10,FALSE))</f>
        <v>08006</v>
      </c>
      <c r="B142" s="64" t="str">
        <f>IF(C142="","",VLOOKUP('OPĆI DIO'!$C$3,'OPĆI DIO'!$L$6:$U$138,9,FALSE))</f>
        <v>Sveučilišta i veleučilišta u Republici Hrvatskoj</v>
      </c>
      <c r="C142" s="69">
        <v>43</v>
      </c>
      <c r="D142" s="64" t="str">
        <f t="shared" si="31"/>
        <v>Ostali prihodi za posebne namjene</v>
      </c>
      <c r="E142" s="69">
        <v>3434</v>
      </c>
      <c r="F142" s="64" t="str">
        <f t="shared" si="22"/>
        <v>Ostali nespomenuti financijski rashodi</v>
      </c>
      <c r="G142" s="102" t="s">
        <v>1032</v>
      </c>
      <c r="H142" s="64" t="str">
        <f t="shared" si="32"/>
        <v>PRAVOMOĆNE SUDSKE PRESUDE</v>
      </c>
      <c r="I142" s="64" t="str">
        <f t="shared" si="33"/>
        <v>0942</v>
      </c>
      <c r="J142" s="101"/>
      <c r="K142" s="101"/>
      <c r="L142" s="101">
        <v>3623</v>
      </c>
      <c r="M142" s="68"/>
      <c r="O142" t="str">
        <f t="shared" si="27"/>
        <v>343</v>
      </c>
      <c r="P142" t="str">
        <f t="shared" si="28"/>
        <v>34</v>
      </c>
      <c r="Q142" t="str">
        <f t="shared" si="29"/>
        <v>43</v>
      </c>
      <c r="R142" t="str">
        <f t="shared" si="30"/>
        <v>94</v>
      </c>
      <c r="AB142" t="s">
        <v>1054</v>
      </c>
      <c r="AC142" t="s">
        <v>1055</v>
      </c>
      <c r="AD142" t="s">
        <v>649</v>
      </c>
      <c r="AE142" t="s">
        <v>650</v>
      </c>
      <c r="AF142" t="s">
        <v>651</v>
      </c>
      <c r="AG142" t="s">
        <v>652</v>
      </c>
    </row>
    <row r="143" spans="1:33">
      <c r="A143" s="64" t="str">
        <f>IF(C143="","",VLOOKUP('OPĆI DIO'!$C$3,'OPĆI DIO'!$L$6:$U$138,10,FALSE))</f>
        <v>08006</v>
      </c>
      <c r="B143" s="64" t="str">
        <f>IF(C143="","",VLOOKUP('OPĆI DIO'!$C$3,'OPĆI DIO'!$L$6:$U$138,9,FALSE))</f>
        <v>Sveučilišta i veleučilišta u Republici Hrvatskoj</v>
      </c>
      <c r="C143" s="69">
        <v>11</v>
      </c>
      <c r="D143" s="64" t="str">
        <f t="shared" si="31"/>
        <v>Opći prihodi i primici</v>
      </c>
      <c r="E143" s="69">
        <v>3236</v>
      </c>
      <c r="F143" s="64" t="str">
        <f t="shared" ref="F143:F206" si="34">IFERROR(VLOOKUP(E143,$V$5:$X$127,2,FALSE),"")</f>
        <v>Zdravstvene i veterinarske usluge</v>
      </c>
      <c r="G143" s="102" t="s">
        <v>634</v>
      </c>
      <c r="H143" s="64" t="str">
        <f t="shared" si="32"/>
        <v>REDOVNA DJELATNOST SVEUČILIŠTA U ZAGREBU</v>
      </c>
      <c r="I143" s="64" t="str">
        <f t="shared" si="33"/>
        <v>0942</v>
      </c>
      <c r="J143" s="101"/>
      <c r="K143" s="101">
        <v>3213</v>
      </c>
      <c r="L143" s="101"/>
      <c r="M143" s="68"/>
      <c r="O143" t="str">
        <f t="shared" si="27"/>
        <v>323</v>
      </c>
      <c r="P143" t="str">
        <f t="shared" si="28"/>
        <v>32</v>
      </c>
      <c r="Q143" t="str">
        <f t="shared" si="29"/>
        <v>11</v>
      </c>
      <c r="R143" t="str">
        <f t="shared" si="30"/>
        <v>94</v>
      </c>
      <c r="AB143" t="s">
        <v>1056</v>
      </c>
      <c r="AC143" t="s">
        <v>1057</v>
      </c>
      <c r="AD143" t="s">
        <v>657</v>
      </c>
      <c r="AE143" t="s">
        <v>658</v>
      </c>
      <c r="AF143" t="s">
        <v>644</v>
      </c>
      <c r="AG143" t="s">
        <v>659</v>
      </c>
    </row>
    <row r="144" spans="1:33">
      <c r="A144" s="64" t="str">
        <f>IF(C144="","",VLOOKUP('OPĆI DIO'!$C$3,'OPĆI DIO'!$L$6:$U$138,10,FALSE))</f>
        <v>08006</v>
      </c>
      <c r="B144" s="64" t="str">
        <f>IF(C144="","",VLOOKUP('OPĆI DIO'!$C$3,'OPĆI DIO'!$L$6:$U$138,9,FALSE))</f>
        <v>Sveučilišta i veleučilišta u Republici Hrvatskoj</v>
      </c>
      <c r="C144" s="69">
        <v>11</v>
      </c>
      <c r="D144" s="64" t="str">
        <f t="shared" si="31"/>
        <v>Opći prihodi i primici</v>
      </c>
      <c r="E144" s="69">
        <v>3295</v>
      </c>
      <c r="F144" s="64" t="str">
        <f t="shared" si="34"/>
        <v>Pristojbe i naknade</v>
      </c>
      <c r="G144" s="102" t="s">
        <v>653</v>
      </c>
      <c r="H144" s="64" t="str">
        <f t="shared" si="32"/>
        <v>PROGRAMSKO FINANCIRANJE JAVNIH VISOKIH UČILIŠTA</v>
      </c>
      <c r="I144" s="64" t="str">
        <f t="shared" si="33"/>
        <v>0942</v>
      </c>
      <c r="J144" s="101"/>
      <c r="K144" s="101">
        <v>55411</v>
      </c>
      <c r="L144" s="101"/>
      <c r="M144" s="68"/>
      <c r="O144" t="str">
        <f t="shared" si="27"/>
        <v>329</v>
      </c>
      <c r="P144" t="str">
        <f t="shared" si="28"/>
        <v>32</v>
      </c>
      <c r="Q144" t="str">
        <f t="shared" si="29"/>
        <v>11</v>
      </c>
      <c r="R144" t="str">
        <f t="shared" si="30"/>
        <v>94</v>
      </c>
      <c r="AB144" t="s">
        <v>1058</v>
      </c>
      <c r="AC144" t="s">
        <v>1059</v>
      </c>
      <c r="AD144" t="s">
        <v>1043</v>
      </c>
      <c r="AE144" t="s">
        <v>1044</v>
      </c>
      <c r="AF144" t="s">
        <v>644</v>
      </c>
      <c r="AG144" t="s">
        <v>1045</v>
      </c>
    </row>
    <row r="145" spans="1:33">
      <c r="A145" s="64" t="str">
        <f>IF(C145="","",VLOOKUP('OPĆI DIO'!$C$3,'OPĆI DIO'!$L$6:$U$138,10,FALSE))</f>
        <v>08006</v>
      </c>
      <c r="B145" s="64" t="str">
        <f>IF(C145="","",VLOOKUP('OPĆI DIO'!$C$3,'OPĆI DIO'!$L$6:$U$138,9,FALSE))</f>
        <v>Sveučilišta i veleučilišta u Republici Hrvatskoj</v>
      </c>
      <c r="C145" s="69">
        <v>11</v>
      </c>
      <c r="D145" s="64" t="str">
        <f t="shared" si="31"/>
        <v>Opći prihodi i primici</v>
      </c>
      <c r="E145" s="69">
        <v>3831</v>
      </c>
      <c r="F145" s="64" t="str">
        <f t="shared" si="34"/>
        <v>Naknade šteta pravnim i fizičkim osobama</v>
      </c>
      <c r="G145" s="102" t="s">
        <v>1032</v>
      </c>
      <c r="H145" s="64" t="str">
        <f t="shared" si="32"/>
        <v>PRAVOMOĆNE SUDSKE PRESUDE</v>
      </c>
      <c r="I145" s="64" t="str">
        <f t="shared" si="33"/>
        <v>0942</v>
      </c>
      <c r="J145" s="101"/>
      <c r="K145" s="101">
        <v>22353</v>
      </c>
      <c r="L145" s="101"/>
      <c r="M145" s="68"/>
      <c r="O145" t="str">
        <f t="shared" si="27"/>
        <v>383</v>
      </c>
      <c r="P145" t="str">
        <f t="shared" si="28"/>
        <v>38</v>
      </c>
      <c r="Q145" t="str">
        <f t="shared" si="29"/>
        <v>11</v>
      </c>
      <c r="R145" t="str">
        <f t="shared" si="30"/>
        <v>94</v>
      </c>
      <c r="AB145" t="s">
        <v>1060</v>
      </c>
      <c r="AC145" t="s">
        <v>1061</v>
      </c>
      <c r="AD145" t="s">
        <v>657</v>
      </c>
      <c r="AE145" t="s">
        <v>658</v>
      </c>
      <c r="AF145" t="s">
        <v>644</v>
      </c>
      <c r="AG145" t="s">
        <v>659</v>
      </c>
    </row>
    <row r="146" spans="1:33">
      <c r="A146" s="64" t="str">
        <f>IF(C146="","",VLOOKUP('OPĆI DIO'!$C$3,'OPĆI DIO'!$L$6:$U$138,10,FALSE))</f>
        <v>08006</v>
      </c>
      <c r="B146" s="64" t="str">
        <f>IF(C146="","",VLOOKUP('OPĆI DIO'!$C$3,'OPĆI DIO'!$L$6:$U$138,9,FALSE))</f>
        <v>Sveučilišta i veleučilišta u Republici Hrvatskoj</v>
      </c>
      <c r="C146" s="69">
        <v>11</v>
      </c>
      <c r="D146" s="64" t="str">
        <f t="shared" si="31"/>
        <v>Opći prihodi i primici</v>
      </c>
      <c r="E146" s="69">
        <v>4126</v>
      </c>
      <c r="F146" s="64" t="str">
        <f t="shared" si="34"/>
        <v>Ostala nematerijalna imovina</v>
      </c>
      <c r="G146" s="102" t="s">
        <v>634</v>
      </c>
      <c r="H146" s="64" t="str">
        <f t="shared" si="32"/>
        <v>REDOVNA DJELATNOST SVEUČILIŠTA U ZAGREBU</v>
      </c>
      <c r="I146" s="64" t="str">
        <f t="shared" si="33"/>
        <v>0942</v>
      </c>
      <c r="J146" s="101"/>
      <c r="K146" s="101">
        <v>40000</v>
      </c>
      <c r="L146" s="101"/>
      <c r="M146" s="68"/>
      <c r="O146" t="str">
        <f t="shared" si="27"/>
        <v>412</v>
      </c>
      <c r="P146" t="str">
        <f t="shared" si="28"/>
        <v>41</v>
      </c>
      <c r="Q146" t="str">
        <f t="shared" si="29"/>
        <v>11</v>
      </c>
      <c r="R146" t="str">
        <f t="shared" si="30"/>
        <v>94</v>
      </c>
      <c r="AB146" t="s">
        <v>634</v>
      </c>
      <c r="AC146" t="s">
        <v>1062</v>
      </c>
      <c r="AD146" t="s">
        <v>677</v>
      </c>
      <c r="AE146" t="s">
        <v>678</v>
      </c>
      <c r="AF146" t="s">
        <v>644</v>
      </c>
      <c r="AG146" t="s">
        <v>679</v>
      </c>
    </row>
    <row r="147" spans="1:33">
      <c r="A147" s="64" t="str">
        <f>IF(C147="","",VLOOKUP('OPĆI DIO'!$C$3,'OPĆI DIO'!$L$6:$U$138,10,FALSE))</f>
        <v>08006</v>
      </c>
      <c r="B147" s="64" t="str">
        <f>IF(C147="","",VLOOKUP('OPĆI DIO'!$C$3,'OPĆI DIO'!$L$6:$U$138,9,FALSE))</f>
        <v>Sveučilišta i veleučilišta u Republici Hrvatskoj</v>
      </c>
      <c r="C147" s="69">
        <v>11</v>
      </c>
      <c r="D147" s="64" t="str">
        <f t="shared" si="31"/>
        <v>Opći prihodi i primici</v>
      </c>
      <c r="E147" s="69">
        <v>3231</v>
      </c>
      <c r="F147" s="64" t="str">
        <f t="shared" si="34"/>
        <v>Usluge telefona, pošte i prijevoza</v>
      </c>
      <c r="G147" s="102" t="s">
        <v>653</v>
      </c>
      <c r="H147" s="64" t="str">
        <f t="shared" si="32"/>
        <v>PROGRAMSKO FINANCIRANJE JAVNIH VISOKIH UČILIŠTA</v>
      </c>
      <c r="I147" s="64" t="str">
        <f t="shared" si="33"/>
        <v>0942</v>
      </c>
      <c r="J147" s="101"/>
      <c r="K147" s="101">
        <v>6900</v>
      </c>
      <c r="L147" s="101"/>
      <c r="M147" s="68"/>
      <c r="N147" s="250">
        <f>SUM(J3:J141)</f>
        <v>2660089</v>
      </c>
      <c r="O147" t="str">
        <f t="shared" si="27"/>
        <v>323</v>
      </c>
      <c r="P147" t="str">
        <f t="shared" si="28"/>
        <v>32</v>
      </c>
      <c r="Q147" t="str">
        <f t="shared" si="29"/>
        <v>11</v>
      </c>
      <c r="R147" t="str">
        <f t="shared" si="30"/>
        <v>94</v>
      </c>
      <c r="AB147" t="s">
        <v>1063</v>
      </c>
      <c r="AC147" t="s">
        <v>1064</v>
      </c>
      <c r="AD147" t="s">
        <v>677</v>
      </c>
      <c r="AE147" t="s">
        <v>678</v>
      </c>
      <c r="AF147" t="s">
        <v>644</v>
      </c>
      <c r="AG147" t="s">
        <v>679</v>
      </c>
    </row>
    <row r="148" spans="1:33">
      <c r="A148" s="64" t="str">
        <f>IF(C148="","",VLOOKUP('OPĆI DIO'!$C$3,'OPĆI DIO'!$L$6:$U$138,10,FALSE))</f>
        <v>08006</v>
      </c>
      <c r="B148" s="64" t="str">
        <f>IF(C148="","",VLOOKUP('OPĆI DIO'!$C$3,'OPĆI DIO'!$L$6:$U$138,9,FALSE))</f>
        <v>Sveučilišta i veleučilišta u Republici Hrvatskoj</v>
      </c>
      <c r="C148" s="69">
        <v>31</v>
      </c>
      <c r="D148" s="64" t="str">
        <f t="shared" si="31"/>
        <v>Vlastiti prihodi</v>
      </c>
      <c r="E148" s="69">
        <v>3223</v>
      </c>
      <c r="F148" s="64" t="str">
        <f t="shared" si="34"/>
        <v>Energija</v>
      </c>
      <c r="G148" s="102" t="s">
        <v>703</v>
      </c>
      <c r="H148" s="64" t="str">
        <f t="shared" si="32"/>
        <v>REDOVNA DJELATNOST SVEUČILIŠTA U ZAGREBU (IZ EVIDENCIJSKIH PRIHODA)</v>
      </c>
      <c r="I148" s="64" t="str">
        <f t="shared" si="33"/>
        <v>0942</v>
      </c>
      <c r="J148" s="101"/>
      <c r="K148" s="101">
        <v>99622</v>
      </c>
      <c r="L148" s="101"/>
      <c r="M148" s="68"/>
      <c r="N148" s="250">
        <f>SUM('Unos rashoda P4'!H3:H97)</f>
        <v>83614</v>
      </c>
      <c r="O148" t="str">
        <f t="shared" si="27"/>
        <v>322</v>
      </c>
      <c r="P148" t="str">
        <f t="shared" si="28"/>
        <v>32</v>
      </c>
      <c r="Q148" t="str">
        <f t="shared" si="29"/>
        <v>31</v>
      </c>
      <c r="R148" t="str">
        <f t="shared" si="30"/>
        <v>94</v>
      </c>
      <c r="AB148" t="s">
        <v>1065</v>
      </c>
      <c r="AC148" t="s">
        <v>1066</v>
      </c>
      <c r="AD148" t="s">
        <v>677</v>
      </c>
      <c r="AE148" t="s">
        <v>678</v>
      </c>
      <c r="AF148" t="s">
        <v>644</v>
      </c>
      <c r="AG148" t="s">
        <v>679</v>
      </c>
    </row>
    <row r="149" spans="1:33">
      <c r="A149" s="64" t="str">
        <f>IF(C149="","",VLOOKUP('OPĆI DIO'!$C$3,'OPĆI DIO'!$L$6:$U$138,10,FALSE))</f>
        <v>08006</v>
      </c>
      <c r="B149" s="64" t="str">
        <f>IF(C149="","",VLOOKUP('OPĆI DIO'!$C$3,'OPĆI DIO'!$L$6:$U$138,9,FALSE))</f>
        <v>Sveučilišta i veleučilišta u Republici Hrvatskoj</v>
      </c>
      <c r="C149" s="69">
        <v>31</v>
      </c>
      <c r="D149" s="64" t="str">
        <f t="shared" si="31"/>
        <v>Vlastiti prihodi</v>
      </c>
      <c r="E149" s="69">
        <v>3235</v>
      </c>
      <c r="F149" s="64" t="str">
        <f t="shared" si="34"/>
        <v>Zakupnine i najamnine</v>
      </c>
      <c r="G149" s="102" t="s">
        <v>703</v>
      </c>
      <c r="H149" s="64" t="str">
        <f t="shared" si="32"/>
        <v>REDOVNA DJELATNOST SVEUČILIŠTA U ZAGREBU (IZ EVIDENCIJSKIH PRIHODA)</v>
      </c>
      <c r="I149" s="64" t="str">
        <f t="shared" si="33"/>
        <v>0942</v>
      </c>
      <c r="J149" s="101"/>
      <c r="K149" s="101">
        <v>3484</v>
      </c>
      <c r="L149" s="101"/>
      <c r="M149" s="68"/>
      <c r="N149" s="250">
        <f>+N148+N147</f>
        <v>2743703</v>
      </c>
      <c r="O149" t="str">
        <f t="shared" si="27"/>
        <v>323</v>
      </c>
      <c r="P149" t="str">
        <f t="shared" si="28"/>
        <v>32</v>
      </c>
      <c r="Q149" t="str">
        <f t="shared" si="29"/>
        <v>31</v>
      </c>
      <c r="R149" t="str">
        <f t="shared" si="30"/>
        <v>94</v>
      </c>
      <c r="AB149" t="s">
        <v>1067</v>
      </c>
      <c r="AC149" t="s">
        <v>1068</v>
      </c>
      <c r="AD149" t="s">
        <v>677</v>
      </c>
      <c r="AE149" t="s">
        <v>678</v>
      </c>
      <c r="AF149" t="s">
        <v>644</v>
      </c>
      <c r="AG149" t="s">
        <v>679</v>
      </c>
    </row>
    <row r="150" spans="1:33">
      <c r="A150" s="64" t="str">
        <f>IF(C150="","",VLOOKUP('OPĆI DIO'!$C$3,'OPĆI DIO'!$L$6:$U$138,10,FALSE))</f>
        <v>08006</v>
      </c>
      <c r="B150" s="64" t="str">
        <f>IF(C150="","",VLOOKUP('OPĆI DIO'!$C$3,'OPĆI DIO'!$L$6:$U$138,9,FALSE))</f>
        <v>Sveučilišta i veleučilišta u Republici Hrvatskoj</v>
      </c>
      <c r="C150" s="69">
        <v>31</v>
      </c>
      <c r="D150" s="64" t="str">
        <f t="shared" si="31"/>
        <v>Vlastiti prihodi</v>
      </c>
      <c r="E150" s="69">
        <v>3293</v>
      </c>
      <c r="F150" s="64" t="str">
        <f t="shared" si="34"/>
        <v>Reprezentacija</v>
      </c>
      <c r="G150" s="102" t="s">
        <v>703</v>
      </c>
      <c r="H150" s="64" t="str">
        <f t="shared" si="32"/>
        <v>REDOVNA DJELATNOST SVEUČILIŠTA U ZAGREBU (IZ EVIDENCIJSKIH PRIHODA)</v>
      </c>
      <c r="I150" s="64" t="str">
        <f t="shared" si="33"/>
        <v>0942</v>
      </c>
      <c r="J150" s="101"/>
      <c r="K150" s="101">
        <v>4214</v>
      </c>
      <c r="L150" s="101"/>
      <c r="M150" s="68"/>
      <c r="N150" s="250">
        <f>+J143+'Unos rashoda P4'!H100</f>
        <v>0</v>
      </c>
      <c r="O150" t="str">
        <f t="shared" si="27"/>
        <v>329</v>
      </c>
      <c r="P150" t="str">
        <f t="shared" si="28"/>
        <v>32</v>
      </c>
      <c r="Q150" t="str">
        <f t="shared" si="29"/>
        <v>31</v>
      </c>
      <c r="R150" t="str">
        <f t="shared" si="30"/>
        <v>94</v>
      </c>
      <c r="AB150" t="s">
        <v>699</v>
      </c>
      <c r="AC150" t="s">
        <v>1069</v>
      </c>
      <c r="AD150" t="s">
        <v>677</v>
      </c>
      <c r="AE150" t="s">
        <v>678</v>
      </c>
      <c r="AF150" t="s">
        <v>644</v>
      </c>
      <c r="AG150" t="s">
        <v>679</v>
      </c>
    </row>
    <row r="151" spans="1:33">
      <c r="A151" s="64" t="str">
        <f>IF(C151="","",VLOOKUP('OPĆI DIO'!$C$3,'OPĆI DIO'!$L$6:$U$138,10,FALSE))</f>
        <v>08006</v>
      </c>
      <c r="B151" s="64" t="str">
        <f>IF(C151="","",VLOOKUP('OPĆI DIO'!$C$3,'OPĆI DIO'!$L$6:$U$138,9,FALSE))</f>
        <v>Sveučilišta i veleučilišta u Republici Hrvatskoj</v>
      </c>
      <c r="C151" s="69">
        <v>52</v>
      </c>
      <c r="D151" s="64" t="str">
        <f t="shared" si="31"/>
        <v>Ostale pomoći</v>
      </c>
      <c r="E151" s="69">
        <v>3121</v>
      </c>
      <c r="F151" s="64" t="str">
        <f t="shared" si="34"/>
        <v>Ostali rashodi za zaposlene</v>
      </c>
      <c r="G151" s="102" t="s">
        <v>703</v>
      </c>
      <c r="H151" s="64" t="str">
        <f t="shared" si="32"/>
        <v>REDOVNA DJELATNOST SVEUČILIŠTA U ZAGREBU (IZ EVIDENCIJSKIH PRIHODA)</v>
      </c>
      <c r="I151" s="64" t="str">
        <f t="shared" si="33"/>
        <v>0942</v>
      </c>
      <c r="J151" s="101"/>
      <c r="K151" s="101">
        <v>3318</v>
      </c>
      <c r="L151" s="101"/>
      <c r="M151" s="68"/>
      <c r="N151" s="250">
        <f>+N149+N150</f>
        <v>2743703</v>
      </c>
      <c r="O151" t="str">
        <f t="shared" si="27"/>
        <v>312</v>
      </c>
      <c r="P151" t="str">
        <f t="shared" si="28"/>
        <v>31</v>
      </c>
      <c r="Q151" t="str">
        <f t="shared" si="29"/>
        <v>52</v>
      </c>
      <c r="R151" t="str">
        <f t="shared" si="30"/>
        <v>94</v>
      </c>
      <c r="AB151" t="s">
        <v>1070</v>
      </c>
      <c r="AC151" t="s">
        <v>1071</v>
      </c>
      <c r="AD151" t="s">
        <v>677</v>
      </c>
      <c r="AE151" t="s">
        <v>678</v>
      </c>
      <c r="AF151" t="s">
        <v>644</v>
      </c>
      <c r="AG151" t="s">
        <v>679</v>
      </c>
    </row>
    <row r="152" spans="1:33">
      <c r="A152" s="64" t="str">
        <f>IF(C152="","",VLOOKUP('OPĆI DIO'!$C$3,'OPĆI DIO'!$L$6:$U$138,10,FALSE))</f>
        <v>08006</v>
      </c>
      <c r="B152" s="64" t="str">
        <f>IF(C152="","",VLOOKUP('OPĆI DIO'!$C$3,'OPĆI DIO'!$L$6:$U$138,9,FALSE))</f>
        <v>Sveučilišta i veleučilišta u Republici Hrvatskoj</v>
      </c>
      <c r="C152" s="69">
        <v>52</v>
      </c>
      <c r="D152" s="64" t="str">
        <f t="shared" si="31"/>
        <v>Ostale pomoći</v>
      </c>
      <c r="E152" s="69">
        <v>3237</v>
      </c>
      <c r="F152" s="64" t="str">
        <f t="shared" si="34"/>
        <v>Intelektualne i osobne usluge</v>
      </c>
      <c r="G152" s="102" t="s">
        <v>703</v>
      </c>
      <c r="H152" s="64" t="str">
        <f t="shared" si="32"/>
        <v>REDOVNA DJELATNOST SVEUČILIŠTA U ZAGREBU (IZ EVIDENCIJSKIH PRIHODA)</v>
      </c>
      <c r="I152" s="64" t="str">
        <f t="shared" si="33"/>
        <v>0942</v>
      </c>
      <c r="J152" s="101"/>
      <c r="K152" s="101">
        <v>9344</v>
      </c>
      <c r="L152" s="101"/>
      <c r="M152" s="68"/>
      <c r="O152" t="str">
        <f t="shared" si="27"/>
        <v>323</v>
      </c>
      <c r="P152" t="str">
        <f t="shared" si="28"/>
        <v>32</v>
      </c>
      <c r="Q152" t="str">
        <f t="shared" si="29"/>
        <v>52</v>
      </c>
      <c r="R152" t="str">
        <f t="shared" si="30"/>
        <v>94</v>
      </c>
      <c r="AB152" t="s">
        <v>1072</v>
      </c>
      <c r="AC152" t="s">
        <v>1073</v>
      </c>
      <c r="AD152" t="s">
        <v>677</v>
      </c>
      <c r="AE152" t="s">
        <v>678</v>
      </c>
      <c r="AF152" t="s">
        <v>644</v>
      </c>
      <c r="AG152" t="s">
        <v>679</v>
      </c>
    </row>
    <row r="153" spans="1:33">
      <c r="A153" s="64" t="str">
        <f>IF(C153="","",VLOOKUP('OPĆI DIO'!$C$3,'OPĆI DIO'!$L$6:$U$138,10,FALSE))</f>
        <v>08006</v>
      </c>
      <c r="B153" s="64" t="str">
        <f>IF(C153="","",VLOOKUP('OPĆI DIO'!$C$3,'OPĆI DIO'!$L$6:$U$138,9,FALSE))</f>
        <v>Sveučilišta i veleučilišta u Republici Hrvatskoj</v>
      </c>
      <c r="C153" s="69">
        <v>52</v>
      </c>
      <c r="D153" s="64" t="str">
        <f t="shared" si="31"/>
        <v>Ostale pomoći</v>
      </c>
      <c r="E153" s="69">
        <v>4126</v>
      </c>
      <c r="F153" s="64" t="str">
        <f t="shared" si="34"/>
        <v>Ostala nematerijalna imovina</v>
      </c>
      <c r="G153" s="102" t="s">
        <v>703</v>
      </c>
      <c r="H153" s="64" t="str">
        <f t="shared" si="32"/>
        <v>REDOVNA DJELATNOST SVEUČILIŠTA U ZAGREBU (IZ EVIDENCIJSKIH PRIHODA)</v>
      </c>
      <c r="I153" s="64" t="str">
        <f t="shared" si="33"/>
        <v>0942</v>
      </c>
      <c r="J153" s="101"/>
      <c r="K153" s="101">
        <v>1659035</v>
      </c>
      <c r="L153" s="101"/>
      <c r="M153" s="68"/>
      <c r="O153" t="str">
        <f t="shared" si="27"/>
        <v>412</v>
      </c>
      <c r="P153" t="str">
        <f t="shared" si="28"/>
        <v>41</v>
      </c>
      <c r="Q153" t="str">
        <f t="shared" si="29"/>
        <v>52</v>
      </c>
      <c r="R153" t="str">
        <f t="shared" si="30"/>
        <v>94</v>
      </c>
      <c r="AB153" t="s">
        <v>1074</v>
      </c>
      <c r="AC153" t="s">
        <v>1075</v>
      </c>
      <c r="AD153" t="s">
        <v>677</v>
      </c>
      <c r="AE153" t="s">
        <v>678</v>
      </c>
      <c r="AF153" t="s">
        <v>644</v>
      </c>
      <c r="AG153" t="s">
        <v>679</v>
      </c>
    </row>
    <row r="154" spans="1:33">
      <c r="A154" s="64" t="str">
        <f>IF(C154="","",VLOOKUP('OPĆI DIO'!$C$3,'OPĆI DIO'!$L$6:$U$138,10,FALSE))</f>
        <v>08006</v>
      </c>
      <c r="B154" s="64" t="str">
        <f>IF(C154="","",VLOOKUP('OPĆI DIO'!$C$3,'OPĆI DIO'!$L$6:$U$138,9,FALSE))</f>
        <v>Sveučilišta i veleučilišta u Republici Hrvatskoj</v>
      </c>
      <c r="C154" s="69">
        <v>52</v>
      </c>
      <c r="D154" s="64" t="str">
        <f t="shared" si="31"/>
        <v>Ostale pomoći</v>
      </c>
      <c r="E154" s="69">
        <v>4541</v>
      </c>
      <c r="F154" s="64" t="str">
        <f t="shared" si="34"/>
        <v>Dodatna ulaganja za ostalu nefinancijsku imovinu</v>
      </c>
      <c r="G154" s="102" t="s">
        <v>703</v>
      </c>
      <c r="H154" s="64" t="str">
        <f t="shared" si="32"/>
        <v>REDOVNA DJELATNOST SVEUČILIŠTA U ZAGREBU (IZ EVIDENCIJSKIH PRIHODA)</v>
      </c>
      <c r="I154" s="64" t="str">
        <f t="shared" si="33"/>
        <v>0942</v>
      </c>
      <c r="J154" s="101"/>
      <c r="K154" s="101">
        <v>79634</v>
      </c>
      <c r="L154" s="101"/>
      <c r="M154" s="68"/>
      <c r="N154" s="250"/>
      <c r="O154" t="str">
        <f t="shared" si="27"/>
        <v>454</v>
      </c>
      <c r="P154" t="str">
        <f t="shared" si="28"/>
        <v>45</v>
      </c>
      <c r="Q154" t="str">
        <f t="shared" si="29"/>
        <v>52</v>
      </c>
      <c r="R154" t="str">
        <f t="shared" si="30"/>
        <v>94</v>
      </c>
      <c r="AB154" t="s">
        <v>1076</v>
      </c>
      <c r="AC154" t="s">
        <v>1077</v>
      </c>
      <c r="AD154" t="s">
        <v>677</v>
      </c>
      <c r="AE154" t="s">
        <v>678</v>
      </c>
      <c r="AF154" t="s">
        <v>644</v>
      </c>
      <c r="AG154" t="s">
        <v>679</v>
      </c>
    </row>
    <row r="155" spans="1:33">
      <c r="A155" s="64" t="str">
        <f>IF(C155="","",VLOOKUP('OPĆI DIO'!$C$3,'OPĆI DIO'!$L$6:$U$138,10,FALSE))</f>
        <v>08006</v>
      </c>
      <c r="B155" s="64" t="str">
        <f>IF(C155="","",VLOOKUP('OPĆI DIO'!$C$3,'OPĆI DIO'!$L$6:$U$138,9,FALSE))</f>
        <v>Sveučilišta i veleučilišta u Republici Hrvatskoj</v>
      </c>
      <c r="C155" s="69">
        <v>61</v>
      </c>
      <c r="D155" s="64" t="str">
        <f t="shared" si="31"/>
        <v>Donacije</v>
      </c>
      <c r="E155" s="69">
        <v>4126</v>
      </c>
      <c r="F155" s="64" t="str">
        <f t="shared" si="34"/>
        <v>Ostala nematerijalna imovina</v>
      </c>
      <c r="G155" s="102" t="s">
        <v>703</v>
      </c>
      <c r="H155" s="64" t="str">
        <f t="shared" si="32"/>
        <v>REDOVNA DJELATNOST SVEUČILIŠTA U ZAGREBU (IZ EVIDENCIJSKIH PRIHODA)</v>
      </c>
      <c r="I155" s="64" t="str">
        <f t="shared" si="33"/>
        <v>0942</v>
      </c>
      <c r="J155" s="101"/>
      <c r="K155" s="101">
        <v>60000</v>
      </c>
      <c r="L155" s="101"/>
      <c r="M155" s="68"/>
      <c r="O155" t="str">
        <f t="shared" si="27"/>
        <v>412</v>
      </c>
      <c r="P155" t="str">
        <f t="shared" si="28"/>
        <v>41</v>
      </c>
      <c r="Q155" t="str">
        <f t="shared" si="29"/>
        <v>61</v>
      </c>
      <c r="R155" t="str">
        <f t="shared" si="30"/>
        <v>94</v>
      </c>
      <c r="AB155" t="s">
        <v>1078</v>
      </c>
      <c r="AC155" t="s">
        <v>1079</v>
      </c>
      <c r="AD155" t="s">
        <v>677</v>
      </c>
      <c r="AE155" t="s">
        <v>678</v>
      </c>
      <c r="AF155" t="s">
        <v>644</v>
      </c>
      <c r="AG155" t="s">
        <v>679</v>
      </c>
    </row>
    <row r="156" spans="1:33">
      <c r="A156" s="64" t="str">
        <f>IF(C156="","",VLOOKUP('OPĆI DIO'!$C$3,'OPĆI DIO'!$L$6:$U$138,10,FALSE))</f>
        <v/>
      </c>
      <c r="B156" s="64" t="str">
        <f>IF(C156="","",VLOOKUP('OPĆI DIO'!$C$3,'OPĆI DIO'!$L$6:$U$138,9,FALSE))</f>
        <v/>
      </c>
      <c r="C156" s="69"/>
      <c r="D156" s="64" t="str">
        <f t="shared" si="31"/>
        <v/>
      </c>
      <c r="E156" s="69"/>
      <c r="F156" s="64" t="str">
        <f t="shared" si="34"/>
        <v/>
      </c>
      <c r="G156" s="102"/>
      <c r="H156" s="64" t="str">
        <f t="shared" si="32"/>
        <v/>
      </c>
      <c r="I156" s="64" t="str">
        <f t="shared" si="33"/>
        <v/>
      </c>
      <c r="J156" s="101"/>
      <c r="K156" s="101"/>
      <c r="L156" s="101"/>
      <c r="M156" s="68"/>
      <c r="N156" s="250"/>
      <c r="O156" t="str">
        <f t="shared" si="27"/>
        <v/>
      </c>
      <c r="P156" t="str">
        <f t="shared" si="28"/>
        <v/>
      </c>
      <c r="Q156" t="str">
        <f t="shared" si="29"/>
        <v/>
      </c>
      <c r="R156" t="str">
        <f t="shared" si="30"/>
        <v/>
      </c>
      <c r="AB156" t="s">
        <v>1032</v>
      </c>
      <c r="AC156" t="s">
        <v>771</v>
      </c>
      <c r="AD156" t="s">
        <v>677</v>
      </c>
      <c r="AE156" t="s">
        <v>678</v>
      </c>
      <c r="AF156" t="s">
        <v>644</v>
      </c>
      <c r="AG156" t="s">
        <v>679</v>
      </c>
    </row>
    <row r="157" spans="1:33">
      <c r="A157" s="64" t="str">
        <f>IF(C157="","",VLOOKUP('OPĆI DIO'!$C$3,'OPĆI DIO'!$L$6:$U$138,10,FALSE))</f>
        <v/>
      </c>
      <c r="B157" s="64" t="str">
        <f>IF(C157="","",VLOOKUP('OPĆI DIO'!$C$3,'OPĆI DIO'!$L$6:$U$138,9,FALSE))</f>
        <v/>
      </c>
      <c r="C157" s="69"/>
      <c r="D157" s="64" t="str">
        <f t="shared" si="31"/>
        <v/>
      </c>
      <c r="E157" s="69"/>
      <c r="F157" s="64" t="str">
        <f t="shared" si="34"/>
        <v/>
      </c>
      <c r="G157" s="102"/>
      <c r="H157" s="64" t="str">
        <f t="shared" si="32"/>
        <v/>
      </c>
      <c r="I157" s="64" t="str">
        <f t="shared" si="33"/>
        <v/>
      </c>
      <c r="J157" s="101"/>
      <c r="K157" s="101"/>
      <c r="L157" s="101"/>
      <c r="M157" s="68"/>
      <c r="O157" t="str">
        <f t="shared" si="27"/>
        <v/>
      </c>
      <c r="P157" t="str">
        <f t="shared" si="28"/>
        <v/>
      </c>
      <c r="Q157" t="str">
        <f t="shared" si="29"/>
        <v/>
      </c>
      <c r="R157" t="str">
        <f t="shared" si="30"/>
        <v/>
      </c>
      <c r="AB157" t="s">
        <v>1080</v>
      </c>
      <c r="AC157" t="s">
        <v>1081</v>
      </c>
      <c r="AD157" t="s">
        <v>677</v>
      </c>
      <c r="AE157" t="s">
        <v>678</v>
      </c>
      <c r="AF157" t="s">
        <v>644</v>
      </c>
      <c r="AG157" t="s">
        <v>679</v>
      </c>
    </row>
    <row r="158" spans="1:33">
      <c r="A158" s="64" t="str">
        <f>IF(C158="","",VLOOKUP('OPĆI DIO'!$C$3,'OPĆI DIO'!$L$6:$U$138,10,FALSE))</f>
        <v/>
      </c>
      <c r="B158" s="64" t="str">
        <f>IF(C158="","",VLOOKUP('OPĆI DIO'!$C$3,'OPĆI DIO'!$L$6:$U$138,9,FALSE))</f>
        <v/>
      </c>
      <c r="C158" s="69"/>
      <c r="D158" s="64" t="str">
        <f t="shared" si="31"/>
        <v/>
      </c>
      <c r="E158" s="69"/>
      <c r="F158" s="64" t="str">
        <f t="shared" si="34"/>
        <v/>
      </c>
      <c r="G158" s="102"/>
      <c r="H158" s="64" t="str">
        <f t="shared" si="32"/>
        <v/>
      </c>
      <c r="I158" s="64" t="str">
        <f t="shared" si="33"/>
        <v/>
      </c>
      <c r="J158" s="101"/>
      <c r="K158" s="101"/>
      <c r="L158" s="101"/>
      <c r="M158" s="68"/>
      <c r="O158" t="str">
        <f t="shared" si="27"/>
        <v/>
      </c>
      <c r="P158" t="str">
        <f t="shared" si="28"/>
        <v/>
      </c>
      <c r="Q158" t="str">
        <f t="shared" si="29"/>
        <v/>
      </c>
      <c r="R158" t="str">
        <f t="shared" si="30"/>
        <v/>
      </c>
      <c r="AB158" t="s">
        <v>1082</v>
      </c>
      <c r="AC158" t="s">
        <v>1083</v>
      </c>
      <c r="AD158" t="s">
        <v>677</v>
      </c>
      <c r="AE158" t="s">
        <v>678</v>
      </c>
      <c r="AF158" t="s">
        <v>644</v>
      </c>
      <c r="AG158" t="s">
        <v>679</v>
      </c>
    </row>
    <row r="159" spans="1:33">
      <c r="A159" s="64" t="str">
        <f>IF(C159="","",VLOOKUP('OPĆI DIO'!$C$3,'OPĆI DIO'!$L$6:$U$138,10,FALSE))</f>
        <v/>
      </c>
      <c r="B159" s="64" t="str">
        <f>IF(C159="","",VLOOKUP('OPĆI DIO'!$C$3,'OPĆI DIO'!$L$6:$U$138,9,FALSE))</f>
        <v/>
      </c>
      <c r="C159" s="69"/>
      <c r="D159" s="64" t="str">
        <f t="shared" si="31"/>
        <v/>
      </c>
      <c r="E159" s="69"/>
      <c r="F159" s="64" t="str">
        <f t="shared" si="34"/>
        <v/>
      </c>
      <c r="G159" s="102"/>
      <c r="H159" s="64" t="str">
        <f t="shared" si="32"/>
        <v/>
      </c>
      <c r="I159" s="64" t="str">
        <f t="shared" si="33"/>
        <v/>
      </c>
      <c r="J159" s="101"/>
      <c r="K159" s="101"/>
      <c r="L159" s="101"/>
      <c r="M159" s="68"/>
      <c r="O159" t="str">
        <f t="shared" si="27"/>
        <v/>
      </c>
      <c r="P159" t="str">
        <f t="shared" si="28"/>
        <v/>
      </c>
      <c r="Q159" t="str">
        <f t="shared" si="29"/>
        <v/>
      </c>
      <c r="R159" t="str">
        <f t="shared" si="30"/>
        <v/>
      </c>
      <c r="AB159" t="s">
        <v>653</v>
      </c>
      <c r="AC159" t="s">
        <v>1084</v>
      </c>
      <c r="AD159" t="s">
        <v>677</v>
      </c>
      <c r="AE159" t="s">
        <v>678</v>
      </c>
      <c r="AF159" t="s">
        <v>644</v>
      </c>
      <c r="AG159" t="s">
        <v>679</v>
      </c>
    </row>
    <row r="160" spans="1:33">
      <c r="A160" s="64" t="str">
        <f>IF(C160="","",VLOOKUP('OPĆI DIO'!$C$3,'OPĆI DIO'!$L$6:$U$138,10,FALSE))</f>
        <v/>
      </c>
      <c r="B160" s="64" t="str">
        <f>IF(C160="","",VLOOKUP('OPĆI DIO'!$C$3,'OPĆI DIO'!$L$6:$U$138,9,FALSE))</f>
        <v/>
      </c>
      <c r="C160" s="69"/>
      <c r="D160" s="64" t="str">
        <f t="shared" si="31"/>
        <v/>
      </c>
      <c r="E160" s="69"/>
      <c r="F160" s="64" t="str">
        <f t="shared" si="34"/>
        <v/>
      </c>
      <c r="G160" s="102"/>
      <c r="H160" s="64" t="str">
        <f t="shared" si="32"/>
        <v/>
      </c>
      <c r="I160" s="64" t="str">
        <f t="shared" si="33"/>
        <v/>
      </c>
      <c r="J160" s="101"/>
      <c r="K160" s="101"/>
      <c r="L160" s="101"/>
      <c r="M160" s="68"/>
      <c r="O160" t="str">
        <f t="shared" si="27"/>
        <v/>
      </c>
      <c r="P160" t="str">
        <f t="shared" si="28"/>
        <v/>
      </c>
      <c r="Q160" t="str">
        <f t="shared" si="29"/>
        <v/>
      </c>
      <c r="R160" t="str">
        <f t="shared" si="30"/>
        <v/>
      </c>
      <c r="AB160" t="s">
        <v>1085</v>
      </c>
      <c r="AC160" t="s">
        <v>1086</v>
      </c>
      <c r="AD160" t="s">
        <v>677</v>
      </c>
      <c r="AE160" t="s">
        <v>678</v>
      </c>
      <c r="AF160" t="s">
        <v>644</v>
      </c>
      <c r="AG160" t="s">
        <v>679</v>
      </c>
    </row>
    <row r="161" spans="1:33">
      <c r="A161" s="64" t="str">
        <f>IF(C161="","",VLOOKUP('OPĆI DIO'!$C$3,'OPĆI DIO'!$L$6:$U$138,10,FALSE))</f>
        <v/>
      </c>
      <c r="B161" s="64" t="str">
        <f>IF(C161="","",VLOOKUP('OPĆI DIO'!$C$3,'OPĆI DIO'!$L$6:$U$138,9,FALSE))</f>
        <v/>
      </c>
      <c r="C161" s="69"/>
      <c r="D161" s="64" t="str">
        <f t="shared" si="31"/>
        <v/>
      </c>
      <c r="E161" s="69"/>
      <c r="F161" s="64" t="str">
        <f t="shared" si="34"/>
        <v/>
      </c>
      <c r="G161" s="102"/>
      <c r="H161" s="64" t="str">
        <f t="shared" si="32"/>
        <v/>
      </c>
      <c r="I161" s="64" t="str">
        <f t="shared" si="33"/>
        <v/>
      </c>
      <c r="J161" s="101"/>
      <c r="K161" s="101"/>
      <c r="L161" s="101"/>
      <c r="M161" s="68"/>
      <c r="O161" t="str">
        <f t="shared" si="27"/>
        <v/>
      </c>
      <c r="P161" t="str">
        <f t="shared" si="28"/>
        <v/>
      </c>
      <c r="Q161" t="str">
        <f t="shared" si="29"/>
        <v/>
      </c>
      <c r="R161" t="str">
        <f t="shared" si="30"/>
        <v/>
      </c>
      <c r="AB161" t="s">
        <v>1087</v>
      </c>
      <c r="AC161" t="s">
        <v>1088</v>
      </c>
      <c r="AD161" t="s">
        <v>677</v>
      </c>
      <c r="AE161" t="s">
        <v>678</v>
      </c>
      <c r="AF161" t="s">
        <v>644</v>
      </c>
      <c r="AG161" t="s">
        <v>679</v>
      </c>
    </row>
    <row r="162" spans="1:33">
      <c r="A162" s="64" t="str">
        <f>IF(C162="","",VLOOKUP('OPĆI DIO'!$C$3,'OPĆI DIO'!$L$6:$U$138,10,FALSE))</f>
        <v/>
      </c>
      <c r="B162" s="64" t="str">
        <f>IF(C162="","",VLOOKUP('OPĆI DIO'!$C$3,'OPĆI DIO'!$L$6:$U$138,9,FALSE))</f>
        <v/>
      </c>
      <c r="C162" s="69"/>
      <c r="D162" s="64" t="str">
        <f t="shared" si="31"/>
        <v/>
      </c>
      <c r="E162" s="69"/>
      <c r="F162" s="64" t="str">
        <f t="shared" si="34"/>
        <v/>
      </c>
      <c r="G162" s="102"/>
      <c r="H162" s="64" t="str">
        <f t="shared" si="32"/>
        <v/>
      </c>
      <c r="I162" s="64" t="str">
        <f t="shared" si="33"/>
        <v/>
      </c>
      <c r="J162" s="101"/>
      <c r="K162" s="101"/>
      <c r="L162" s="101"/>
      <c r="M162" s="68"/>
      <c r="O162" t="str">
        <f t="shared" si="27"/>
        <v/>
      </c>
      <c r="P162" t="str">
        <f t="shared" si="28"/>
        <v/>
      </c>
      <c r="Q162" t="str">
        <f t="shared" si="29"/>
        <v/>
      </c>
      <c r="R162" t="str">
        <f t="shared" si="30"/>
        <v/>
      </c>
      <c r="AB162" t="s">
        <v>1089</v>
      </c>
      <c r="AC162" t="s">
        <v>1090</v>
      </c>
      <c r="AD162" t="s">
        <v>677</v>
      </c>
      <c r="AE162" t="s">
        <v>678</v>
      </c>
      <c r="AF162" t="s">
        <v>644</v>
      </c>
      <c r="AG162" t="s">
        <v>679</v>
      </c>
    </row>
    <row r="163" spans="1:33">
      <c r="A163" s="64" t="str">
        <f>IF(C163="","",VLOOKUP('OPĆI DIO'!$C$3,'OPĆI DIO'!$L$6:$U$138,10,FALSE))</f>
        <v/>
      </c>
      <c r="B163" s="64" t="str">
        <f>IF(C163="","",VLOOKUP('OPĆI DIO'!$C$3,'OPĆI DIO'!$L$6:$U$138,9,FALSE))</f>
        <v/>
      </c>
      <c r="C163" s="69"/>
      <c r="D163" s="64" t="str">
        <f t="shared" si="31"/>
        <v/>
      </c>
      <c r="E163" s="69"/>
      <c r="F163" s="64" t="str">
        <f t="shared" si="34"/>
        <v/>
      </c>
      <c r="G163" s="102"/>
      <c r="H163" s="64" t="str">
        <f t="shared" si="32"/>
        <v/>
      </c>
      <c r="I163" s="64" t="str">
        <f t="shared" si="33"/>
        <v/>
      </c>
      <c r="J163" s="101"/>
      <c r="K163" s="101"/>
      <c r="L163" s="101"/>
      <c r="M163" s="68"/>
      <c r="O163" t="str">
        <f t="shared" si="27"/>
        <v/>
      </c>
      <c r="P163" t="str">
        <f t="shared" si="28"/>
        <v/>
      </c>
      <c r="Q163" t="str">
        <f t="shared" si="29"/>
        <v/>
      </c>
      <c r="R163" t="str">
        <f t="shared" si="30"/>
        <v/>
      </c>
      <c r="AB163" t="s">
        <v>1091</v>
      </c>
      <c r="AC163" t="s">
        <v>1092</v>
      </c>
      <c r="AD163" t="s">
        <v>677</v>
      </c>
      <c r="AE163" t="s">
        <v>678</v>
      </c>
      <c r="AF163" t="s">
        <v>644</v>
      </c>
      <c r="AG163" t="s">
        <v>679</v>
      </c>
    </row>
    <row r="164" spans="1:33">
      <c r="A164" s="64" t="str">
        <f>IF(C164="","",VLOOKUP('OPĆI DIO'!$C$3,'OPĆI DIO'!$L$6:$U$138,10,FALSE))</f>
        <v/>
      </c>
      <c r="B164" s="64" t="str">
        <f>IF(C164="","",VLOOKUP('OPĆI DIO'!$C$3,'OPĆI DIO'!$L$6:$U$138,9,FALSE))</f>
        <v/>
      </c>
      <c r="C164" s="69"/>
      <c r="D164" s="64" t="str">
        <f t="shared" si="31"/>
        <v/>
      </c>
      <c r="E164" s="69"/>
      <c r="F164" s="64" t="str">
        <f t="shared" si="34"/>
        <v/>
      </c>
      <c r="G164" s="102"/>
      <c r="H164" s="64" t="str">
        <f t="shared" si="32"/>
        <v/>
      </c>
      <c r="I164" s="64" t="str">
        <f t="shared" si="33"/>
        <v/>
      </c>
      <c r="J164" s="101"/>
      <c r="K164" s="101"/>
      <c r="L164" s="101"/>
      <c r="M164" s="68"/>
      <c r="O164" t="str">
        <f t="shared" si="27"/>
        <v/>
      </c>
      <c r="P164" t="str">
        <f t="shared" si="28"/>
        <v/>
      </c>
      <c r="Q164" t="str">
        <f t="shared" si="29"/>
        <v/>
      </c>
      <c r="R164" t="str">
        <f t="shared" si="30"/>
        <v/>
      </c>
      <c r="AB164" t="s">
        <v>1093</v>
      </c>
      <c r="AC164" t="s">
        <v>1094</v>
      </c>
      <c r="AD164" t="s">
        <v>677</v>
      </c>
      <c r="AE164" t="s">
        <v>678</v>
      </c>
      <c r="AF164" t="s">
        <v>644</v>
      </c>
      <c r="AG164" t="s">
        <v>679</v>
      </c>
    </row>
    <row r="165" spans="1:33">
      <c r="A165" s="64" t="str">
        <f>IF(C165="","",VLOOKUP('OPĆI DIO'!$C$3,'OPĆI DIO'!$L$6:$U$138,10,FALSE))</f>
        <v/>
      </c>
      <c r="B165" s="64" t="str">
        <f>IF(C165="","",VLOOKUP('OPĆI DIO'!$C$3,'OPĆI DIO'!$L$6:$U$138,9,FALSE))</f>
        <v/>
      </c>
      <c r="C165" s="69"/>
      <c r="D165" s="64" t="str">
        <f t="shared" si="31"/>
        <v/>
      </c>
      <c r="E165" s="69"/>
      <c r="F165" s="64" t="str">
        <f t="shared" si="34"/>
        <v/>
      </c>
      <c r="G165" s="102"/>
      <c r="H165" s="64" t="str">
        <f t="shared" si="32"/>
        <v/>
      </c>
      <c r="I165" s="64" t="str">
        <f t="shared" si="33"/>
        <v/>
      </c>
      <c r="J165" s="101"/>
      <c r="K165" s="101"/>
      <c r="L165" s="101"/>
      <c r="M165" s="68"/>
      <c r="O165" t="str">
        <f t="shared" si="27"/>
        <v/>
      </c>
      <c r="P165" t="str">
        <f t="shared" si="28"/>
        <v/>
      </c>
      <c r="Q165" t="str">
        <f t="shared" si="29"/>
        <v/>
      </c>
      <c r="R165" t="str">
        <f t="shared" si="30"/>
        <v/>
      </c>
      <c r="AB165" t="s">
        <v>1095</v>
      </c>
      <c r="AC165" t="s">
        <v>1096</v>
      </c>
      <c r="AD165" t="s">
        <v>677</v>
      </c>
      <c r="AE165" t="s">
        <v>678</v>
      </c>
      <c r="AF165" t="s">
        <v>644</v>
      </c>
      <c r="AG165" t="s">
        <v>679</v>
      </c>
    </row>
    <row r="166" spans="1:33">
      <c r="A166" s="64" t="str">
        <f>IF(C166="","",VLOOKUP('OPĆI DIO'!$C$3,'OPĆI DIO'!$L$6:$U$138,10,FALSE))</f>
        <v/>
      </c>
      <c r="B166" s="64" t="str">
        <f>IF(C166="","",VLOOKUP('OPĆI DIO'!$C$3,'OPĆI DIO'!$L$6:$U$138,9,FALSE))</f>
        <v/>
      </c>
      <c r="C166" s="69"/>
      <c r="D166" s="64" t="str">
        <f t="shared" si="31"/>
        <v/>
      </c>
      <c r="E166" s="69"/>
      <c r="F166" s="64" t="str">
        <f t="shared" si="34"/>
        <v/>
      </c>
      <c r="G166" s="102"/>
      <c r="H166" s="64" t="str">
        <f t="shared" si="32"/>
        <v/>
      </c>
      <c r="I166" s="64" t="str">
        <f t="shared" si="33"/>
        <v/>
      </c>
      <c r="J166" s="101"/>
      <c r="K166" s="101"/>
      <c r="L166" s="101"/>
      <c r="M166" s="68"/>
      <c r="O166" t="str">
        <f t="shared" si="27"/>
        <v/>
      </c>
      <c r="P166" t="str">
        <f t="shared" si="28"/>
        <v/>
      </c>
      <c r="Q166" t="str">
        <f t="shared" si="29"/>
        <v/>
      </c>
      <c r="R166" t="str">
        <f t="shared" si="30"/>
        <v/>
      </c>
      <c r="AB166" t="s">
        <v>1097</v>
      </c>
      <c r="AC166" t="s">
        <v>1098</v>
      </c>
      <c r="AD166" t="s">
        <v>677</v>
      </c>
      <c r="AE166" t="s">
        <v>678</v>
      </c>
      <c r="AF166" t="s">
        <v>644</v>
      </c>
      <c r="AG166" t="s">
        <v>679</v>
      </c>
    </row>
    <row r="167" spans="1:33">
      <c r="A167" s="64" t="str">
        <f>IF(C167="","",VLOOKUP('OPĆI DIO'!$C$3,'OPĆI DIO'!$L$6:$U$138,10,FALSE))</f>
        <v/>
      </c>
      <c r="B167" s="64" t="str">
        <f>IF(C167="","",VLOOKUP('OPĆI DIO'!$C$3,'OPĆI DIO'!$L$6:$U$138,9,FALSE))</f>
        <v/>
      </c>
      <c r="C167" s="69"/>
      <c r="D167" s="64" t="str">
        <f t="shared" si="31"/>
        <v/>
      </c>
      <c r="E167" s="69"/>
      <c r="F167" s="64" t="str">
        <f t="shared" si="34"/>
        <v/>
      </c>
      <c r="G167" s="102"/>
      <c r="H167" s="64" t="str">
        <f t="shared" si="32"/>
        <v/>
      </c>
      <c r="I167" s="64" t="str">
        <f t="shared" si="33"/>
        <v/>
      </c>
      <c r="J167" s="101"/>
      <c r="K167" s="101"/>
      <c r="L167" s="101"/>
      <c r="M167" s="68"/>
      <c r="O167" t="str">
        <f t="shared" si="27"/>
        <v/>
      </c>
      <c r="P167" t="str">
        <f t="shared" si="28"/>
        <v/>
      </c>
      <c r="Q167" t="str">
        <f t="shared" si="29"/>
        <v/>
      </c>
      <c r="R167" t="str">
        <f t="shared" si="30"/>
        <v/>
      </c>
      <c r="AB167" t="s">
        <v>1099</v>
      </c>
      <c r="AC167" t="s">
        <v>1100</v>
      </c>
      <c r="AD167" t="s">
        <v>677</v>
      </c>
      <c r="AE167" t="s">
        <v>678</v>
      </c>
      <c r="AF167" t="s">
        <v>644</v>
      </c>
      <c r="AG167" t="s">
        <v>679</v>
      </c>
    </row>
    <row r="168" spans="1:33">
      <c r="A168" s="64" t="str">
        <f>IF(C168="","",VLOOKUP('OPĆI DIO'!$C$3,'OPĆI DIO'!$L$6:$U$138,10,FALSE))</f>
        <v/>
      </c>
      <c r="B168" s="64" t="str">
        <f>IF(C168="","",VLOOKUP('OPĆI DIO'!$C$3,'OPĆI DIO'!$L$6:$U$138,9,FALSE))</f>
        <v/>
      </c>
      <c r="C168" s="69"/>
      <c r="D168" s="64" t="str">
        <f t="shared" si="31"/>
        <v/>
      </c>
      <c r="E168" s="69"/>
      <c r="F168" s="64" t="str">
        <f t="shared" si="34"/>
        <v/>
      </c>
      <c r="G168" s="102"/>
      <c r="H168" s="64" t="str">
        <f t="shared" si="32"/>
        <v/>
      </c>
      <c r="I168" s="64" t="str">
        <f t="shared" si="33"/>
        <v/>
      </c>
      <c r="J168" s="101"/>
      <c r="K168" s="101"/>
      <c r="L168" s="101"/>
      <c r="M168" s="68"/>
      <c r="O168" t="str">
        <f t="shared" si="27"/>
        <v/>
      </c>
      <c r="P168" t="str">
        <f t="shared" si="28"/>
        <v/>
      </c>
      <c r="Q168" t="str">
        <f t="shared" si="29"/>
        <v/>
      </c>
      <c r="R168" t="str">
        <f t="shared" si="30"/>
        <v/>
      </c>
      <c r="AB168" t="s">
        <v>1101</v>
      </c>
      <c r="AC168" t="s">
        <v>1102</v>
      </c>
      <c r="AD168" t="s">
        <v>677</v>
      </c>
      <c r="AE168" t="s">
        <v>678</v>
      </c>
      <c r="AF168" t="s">
        <v>644</v>
      </c>
      <c r="AG168" t="s">
        <v>679</v>
      </c>
    </row>
    <row r="169" spans="1:33">
      <c r="A169" s="64" t="str">
        <f>IF(C169="","",VLOOKUP('OPĆI DIO'!$C$3,'OPĆI DIO'!$L$6:$U$138,10,FALSE))</f>
        <v/>
      </c>
      <c r="B169" s="64" t="str">
        <f>IF(C169="","",VLOOKUP('OPĆI DIO'!$C$3,'OPĆI DIO'!$L$6:$U$138,9,FALSE))</f>
        <v/>
      </c>
      <c r="C169" s="69"/>
      <c r="D169" s="64" t="str">
        <f t="shared" si="31"/>
        <v/>
      </c>
      <c r="E169" s="69"/>
      <c r="F169" s="64" t="str">
        <f t="shared" si="34"/>
        <v/>
      </c>
      <c r="G169" s="102"/>
      <c r="H169" s="64" t="str">
        <f t="shared" si="32"/>
        <v/>
      </c>
      <c r="I169" s="64" t="str">
        <f t="shared" si="33"/>
        <v/>
      </c>
      <c r="J169" s="101"/>
      <c r="K169" s="101"/>
      <c r="L169" s="101"/>
      <c r="M169" s="68"/>
      <c r="O169" t="str">
        <f t="shared" si="27"/>
        <v/>
      </c>
      <c r="P169" t="str">
        <f t="shared" si="28"/>
        <v/>
      </c>
      <c r="Q169" t="str">
        <f t="shared" si="29"/>
        <v/>
      </c>
      <c r="R169" t="str">
        <f t="shared" si="30"/>
        <v/>
      </c>
      <c r="AB169" t="s">
        <v>1103</v>
      </c>
      <c r="AC169" t="s">
        <v>1104</v>
      </c>
      <c r="AD169" t="s">
        <v>677</v>
      </c>
      <c r="AE169" t="s">
        <v>678</v>
      </c>
      <c r="AF169" t="s">
        <v>644</v>
      </c>
      <c r="AG169" t="s">
        <v>679</v>
      </c>
    </row>
    <row r="170" spans="1:33">
      <c r="A170" s="64" t="str">
        <f>IF(C170="","",VLOOKUP('OPĆI DIO'!$C$3,'OPĆI DIO'!$L$6:$U$138,10,FALSE))</f>
        <v/>
      </c>
      <c r="B170" s="64" t="str">
        <f>IF(C170="","",VLOOKUP('OPĆI DIO'!$C$3,'OPĆI DIO'!$L$6:$U$138,9,FALSE))</f>
        <v/>
      </c>
      <c r="C170" s="69"/>
      <c r="D170" s="64" t="str">
        <f t="shared" si="31"/>
        <v/>
      </c>
      <c r="E170" s="69"/>
      <c r="F170" s="64" t="str">
        <f t="shared" si="34"/>
        <v/>
      </c>
      <c r="G170" s="102"/>
      <c r="H170" s="64" t="str">
        <f t="shared" si="32"/>
        <v/>
      </c>
      <c r="I170" s="64" t="str">
        <f t="shared" si="33"/>
        <v/>
      </c>
      <c r="J170" s="101"/>
      <c r="K170" s="101"/>
      <c r="L170" s="101"/>
      <c r="M170" s="68"/>
      <c r="O170" t="str">
        <f t="shared" si="27"/>
        <v/>
      </c>
      <c r="P170" t="str">
        <f t="shared" si="28"/>
        <v/>
      </c>
      <c r="Q170" t="str">
        <f t="shared" si="29"/>
        <v/>
      </c>
      <c r="R170" t="str">
        <f t="shared" si="30"/>
        <v/>
      </c>
      <c r="AB170" t="s">
        <v>1103</v>
      </c>
      <c r="AC170" t="s">
        <v>1104</v>
      </c>
      <c r="AD170" t="s">
        <v>803</v>
      </c>
      <c r="AE170" t="s">
        <v>804</v>
      </c>
      <c r="AF170" t="s">
        <v>644</v>
      </c>
      <c r="AG170" t="s">
        <v>805</v>
      </c>
    </row>
    <row r="171" spans="1:33">
      <c r="A171" s="64" t="str">
        <f>IF(C171="","",VLOOKUP('OPĆI DIO'!$C$3,'OPĆI DIO'!$L$6:$U$138,10,FALSE))</f>
        <v/>
      </c>
      <c r="B171" s="64" t="str">
        <f>IF(C171="","",VLOOKUP('OPĆI DIO'!$C$3,'OPĆI DIO'!$L$6:$U$138,9,FALSE))</f>
        <v/>
      </c>
      <c r="C171" s="69"/>
      <c r="D171" s="64" t="str">
        <f t="shared" si="31"/>
        <v/>
      </c>
      <c r="E171" s="69"/>
      <c r="F171" s="64" t="str">
        <f t="shared" si="34"/>
        <v/>
      </c>
      <c r="G171" s="102"/>
      <c r="H171" s="64" t="str">
        <f t="shared" si="32"/>
        <v/>
      </c>
      <c r="I171" s="64" t="str">
        <f t="shared" si="33"/>
        <v/>
      </c>
      <c r="J171" s="101"/>
      <c r="K171" s="101"/>
      <c r="L171" s="101"/>
      <c r="M171" s="68"/>
      <c r="O171" t="str">
        <f t="shared" si="27"/>
        <v/>
      </c>
      <c r="P171" t="str">
        <f t="shared" si="28"/>
        <v/>
      </c>
      <c r="Q171" t="str">
        <f t="shared" si="29"/>
        <v/>
      </c>
      <c r="R171" t="str">
        <f t="shared" si="30"/>
        <v/>
      </c>
      <c r="AB171" t="s">
        <v>1105</v>
      </c>
      <c r="AC171" t="s">
        <v>1106</v>
      </c>
      <c r="AD171" t="s">
        <v>677</v>
      </c>
      <c r="AE171" t="s">
        <v>678</v>
      </c>
      <c r="AF171" t="s">
        <v>644</v>
      </c>
      <c r="AG171" t="s">
        <v>679</v>
      </c>
    </row>
    <row r="172" spans="1:33">
      <c r="A172" s="64" t="str">
        <f>IF(C172="","",VLOOKUP('OPĆI DIO'!$C$3,'OPĆI DIO'!$L$6:$U$138,10,FALSE))</f>
        <v/>
      </c>
      <c r="B172" s="64" t="str">
        <f>IF(C172="","",VLOOKUP('OPĆI DIO'!$C$3,'OPĆI DIO'!$L$6:$U$138,9,FALSE))</f>
        <v/>
      </c>
      <c r="C172" s="69"/>
      <c r="D172" s="64" t="str">
        <f t="shared" si="31"/>
        <v/>
      </c>
      <c r="E172" s="69"/>
      <c r="F172" s="64" t="str">
        <f t="shared" si="34"/>
        <v/>
      </c>
      <c r="G172" s="102"/>
      <c r="H172" s="64" t="str">
        <f t="shared" si="32"/>
        <v/>
      </c>
      <c r="I172" s="64" t="str">
        <f t="shared" si="33"/>
        <v/>
      </c>
      <c r="J172" s="101"/>
      <c r="K172" s="101"/>
      <c r="L172" s="101"/>
      <c r="M172" s="68"/>
      <c r="O172" t="str">
        <f t="shared" si="27"/>
        <v/>
      </c>
      <c r="P172" t="str">
        <f t="shared" si="28"/>
        <v/>
      </c>
      <c r="Q172" t="str">
        <f t="shared" si="29"/>
        <v/>
      </c>
      <c r="R172" t="str">
        <f t="shared" si="30"/>
        <v/>
      </c>
      <c r="AB172" t="s">
        <v>703</v>
      </c>
      <c r="AC172" t="s">
        <v>1107</v>
      </c>
      <c r="AD172" t="s">
        <v>677</v>
      </c>
      <c r="AE172" t="s">
        <v>678</v>
      </c>
      <c r="AF172" t="s">
        <v>644</v>
      </c>
      <c r="AG172" t="s">
        <v>679</v>
      </c>
    </row>
    <row r="173" spans="1:33">
      <c r="A173" s="64" t="str">
        <f>IF(C173="","",VLOOKUP('OPĆI DIO'!$C$3,'OPĆI DIO'!$L$6:$U$138,10,FALSE))</f>
        <v/>
      </c>
      <c r="B173" s="64" t="str">
        <f>IF(C173="","",VLOOKUP('OPĆI DIO'!$C$3,'OPĆI DIO'!$L$6:$U$138,9,FALSE))</f>
        <v/>
      </c>
      <c r="C173" s="69"/>
      <c r="D173" s="64" t="str">
        <f t="shared" si="31"/>
        <v/>
      </c>
      <c r="E173" s="69"/>
      <c r="F173" s="64" t="str">
        <f t="shared" si="34"/>
        <v/>
      </c>
      <c r="G173" s="102"/>
      <c r="H173" s="64" t="str">
        <f t="shared" si="32"/>
        <v/>
      </c>
      <c r="I173" s="64" t="str">
        <f t="shared" si="33"/>
        <v/>
      </c>
      <c r="J173" s="101"/>
      <c r="K173" s="101"/>
      <c r="L173" s="101"/>
      <c r="M173" s="68"/>
      <c r="O173" t="str">
        <f t="shared" si="27"/>
        <v/>
      </c>
      <c r="P173" t="str">
        <f t="shared" si="28"/>
        <v/>
      </c>
      <c r="Q173" t="str">
        <f t="shared" si="29"/>
        <v/>
      </c>
      <c r="R173" t="str">
        <f t="shared" si="30"/>
        <v/>
      </c>
      <c r="AB173" t="s">
        <v>1108</v>
      </c>
      <c r="AC173" t="s">
        <v>1109</v>
      </c>
      <c r="AD173" t="s">
        <v>677</v>
      </c>
      <c r="AE173" t="s">
        <v>678</v>
      </c>
      <c r="AF173" t="s">
        <v>644</v>
      </c>
      <c r="AG173" t="s">
        <v>679</v>
      </c>
    </row>
    <row r="174" spans="1:33">
      <c r="A174" s="64" t="str">
        <f>IF(C174="","",VLOOKUP('OPĆI DIO'!$C$3,'OPĆI DIO'!$L$6:$U$138,10,FALSE))</f>
        <v/>
      </c>
      <c r="B174" s="64" t="str">
        <f>IF(C174="","",VLOOKUP('OPĆI DIO'!$C$3,'OPĆI DIO'!$L$6:$U$138,9,FALSE))</f>
        <v/>
      </c>
      <c r="C174" s="69"/>
      <c r="D174" s="64" t="str">
        <f t="shared" si="31"/>
        <v/>
      </c>
      <c r="E174" s="69"/>
      <c r="F174" s="64" t="str">
        <f t="shared" si="34"/>
        <v/>
      </c>
      <c r="G174" s="102"/>
      <c r="H174" s="64" t="str">
        <f t="shared" si="32"/>
        <v/>
      </c>
      <c r="I174" s="64" t="str">
        <f t="shared" si="33"/>
        <v/>
      </c>
      <c r="J174" s="101"/>
      <c r="K174" s="101"/>
      <c r="L174" s="101"/>
      <c r="M174" s="68"/>
      <c r="O174" t="str">
        <f t="shared" si="27"/>
        <v/>
      </c>
      <c r="P174" t="str">
        <f t="shared" si="28"/>
        <v/>
      </c>
      <c r="Q174" t="str">
        <f t="shared" si="29"/>
        <v/>
      </c>
      <c r="R174" t="str">
        <f t="shared" si="30"/>
        <v/>
      </c>
      <c r="AB174" t="s">
        <v>1110</v>
      </c>
      <c r="AC174" t="s">
        <v>1111</v>
      </c>
      <c r="AD174" t="s">
        <v>677</v>
      </c>
      <c r="AE174" t="s">
        <v>678</v>
      </c>
      <c r="AF174" t="s">
        <v>644</v>
      </c>
      <c r="AG174" t="s">
        <v>679</v>
      </c>
    </row>
    <row r="175" spans="1:33">
      <c r="A175" s="64" t="str">
        <f>IF(C175="","",VLOOKUP('OPĆI DIO'!$C$3,'OPĆI DIO'!$L$6:$U$138,10,FALSE))</f>
        <v/>
      </c>
      <c r="B175" s="64" t="str">
        <f>IF(C175="","",VLOOKUP('OPĆI DIO'!$C$3,'OPĆI DIO'!$L$6:$U$138,9,FALSE))</f>
        <v/>
      </c>
      <c r="C175" s="69"/>
      <c r="D175" s="64" t="str">
        <f t="shared" si="31"/>
        <v/>
      </c>
      <c r="E175" s="69"/>
      <c r="F175" s="64" t="str">
        <f t="shared" si="34"/>
        <v/>
      </c>
      <c r="G175" s="102"/>
      <c r="H175" s="64" t="str">
        <f t="shared" si="32"/>
        <v/>
      </c>
      <c r="I175" s="64" t="str">
        <f t="shared" si="33"/>
        <v/>
      </c>
      <c r="J175" s="101"/>
      <c r="K175" s="101"/>
      <c r="L175" s="101"/>
      <c r="M175" s="68"/>
      <c r="O175" t="str">
        <f t="shared" si="27"/>
        <v/>
      </c>
      <c r="P175" t="str">
        <f t="shared" si="28"/>
        <v/>
      </c>
      <c r="Q175" t="str">
        <f t="shared" si="29"/>
        <v/>
      </c>
      <c r="R175" t="str">
        <f t="shared" si="30"/>
        <v/>
      </c>
      <c r="AB175" t="s">
        <v>1112</v>
      </c>
      <c r="AC175" t="s">
        <v>1113</v>
      </c>
      <c r="AD175" t="s">
        <v>677</v>
      </c>
      <c r="AE175" t="s">
        <v>678</v>
      </c>
      <c r="AF175" t="s">
        <v>644</v>
      </c>
      <c r="AG175" t="s">
        <v>679</v>
      </c>
    </row>
    <row r="176" spans="1:33">
      <c r="A176" s="64" t="str">
        <f>IF(C176="","",VLOOKUP('OPĆI DIO'!$C$3,'OPĆI DIO'!$L$6:$U$138,10,FALSE))</f>
        <v/>
      </c>
      <c r="B176" s="64" t="str">
        <f>IF(C176="","",VLOOKUP('OPĆI DIO'!$C$3,'OPĆI DIO'!$L$6:$U$138,9,FALSE))</f>
        <v/>
      </c>
      <c r="C176" s="69"/>
      <c r="D176" s="64" t="str">
        <f t="shared" si="31"/>
        <v/>
      </c>
      <c r="E176" s="69"/>
      <c r="F176" s="64" t="str">
        <f t="shared" si="34"/>
        <v/>
      </c>
      <c r="G176" s="102"/>
      <c r="H176" s="64" t="str">
        <f t="shared" si="32"/>
        <v/>
      </c>
      <c r="I176" s="64" t="str">
        <f t="shared" si="33"/>
        <v/>
      </c>
      <c r="J176" s="101"/>
      <c r="K176" s="101"/>
      <c r="L176" s="101"/>
      <c r="M176" s="68"/>
      <c r="O176" t="str">
        <f t="shared" si="27"/>
        <v/>
      </c>
      <c r="P176" t="str">
        <f t="shared" si="28"/>
        <v/>
      </c>
      <c r="Q176" t="str">
        <f t="shared" si="29"/>
        <v/>
      </c>
      <c r="R176" t="str">
        <f t="shared" si="30"/>
        <v/>
      </c>
      <c r="AB176" t="s">
        <v>1114</v>
      </c>
      <c r="AC176" t="s">
        <v>1115</v>
      </c>
      <c r="AD176" t="s">
        <v>677</v>
      </c>
      <c r="AE176" t="s">
        <v>678</v>
      </c>
      <c r="AF176" t="s">
        <v>644</v>
      </c>
      <c r="AG176" t="s">
        <v>679</v>
      </c>
    </row>
    <row r="177" spans="1:33">
      <c r="A177" s="64" t="str">
        <f>IF(C177="","",VLOOKUP('OPĆI DIO'!$C$3,'OPĆI DIO'!$L$6:$U$138,10,FALSE))</f>
        <v/>
      </c>
      <c r="B177" s="64" t="str">
        <f>IF(C177="","",VLOOKUP('OPĆI DIO'!$C$3,'OPĆI DIO'!$L$6:$U$138,9,FALSE))</f>
        <v/>
      </c>
      <c r="C177" s="69"/>
      <c r="D177" s="64" t="str">
        <f t="shared" si="31"/>
        <v/>
      </c>
      <c r="E177" s="69"/>
      <c r="F177" s="64" t="str">
        <f t="shared" si="34"/>
        <v/>
      </c>
      <c r="G177" s="102"/>
      <c r="H177" s="64" t="str">
        <f t="shared" si="32"/>
        <v/>
      </c>
      <c r="I177" s="64" t="str">
        <f t="shared" si="33"/>
        <v/>
      </c>
      <c r="J177" s="101"/>
      <c r="K177" s="101"/>
      <c r="L177" s="101"/>
      <c r="M177" s="68"/>
      <c r="O177" t="str">
        <f t="shared" si="27"/>
        <v/>
      </c>
      <c r="P177" t="str">
        <f t="shared" si="28"/>
        <v/>
      </c>
      <c r="Q177" t="str">
        <f t="shared" si="29"/>
        <v/>
      </c>
      <c r="R177" t="str">
        <f t="shared" si="30"/>
        <v/>
      </c>
      <c r="AB177" t="s">
        <v>1116</v>
      </c>
      <c r="AC177" t="s">
        <v>1117</v>
      </c>
      <c r="AD177" t="s">
        <v>677</v>
      </c>
      <c r="AE177" t="s">
        <v>678</v>
      </c>
      <c r="AF177" t="s">
        <v>644</v>
      </c>
      <c r="AG177" t="s">
        <v>679</v>
      </c>
    </row>
    <row r="178" spans="1:33">
      <c r="A178" s="64" t="str">
        <f>IF(C178="","",VLOOKUP('OPĆI DIO'!$C$3,'OPĆI DIO'!$L$6:$U$138,10,FALSE))</f>
        <v/>
      </c>
      <c r="B178" s="64" t="str">
        <f>IF(C178="","",VLOOKUP('OPĆI DIO'!$C$3,'OPĆI DIO'!$L$6:$U$138,9,FALSE))</f>
        <v/>
      </c>
      <c r="C178" s="69"/>
      <c r="D178" s="64" t="str">
        <f t="shared" si="31"/>
        <v/>
      </c>
      <c r="E178" s="69"/>
      <c r="F178" s="64" t="str">
        <f t="shared" si="34"/>
        <v/>
      </c>
      <c r="G178" s="102"/>
      <c r="H178" s="64" t="str">
        <f t="shared" si="32"/>
        <v/>
      </c>
      <c r="I178" s="64" t="str">
        <f t="shared" si="33"/>
        <v/>
      </c>
      <c r="J178" s="101"/>
      <c r="K178" s="101"/>
      <c r="L178" s="101"/>
      <c r="M178" s="68"/>
      <c r="O178" t="str">
        <f t="shared" si="27"/>
        <v/>
      </c>
      <c r="P178" t="str">
        <f t="shared" si="28"/>
        <v/>
      </c>
      <c r="Q178" t="str">
        <f t="shared" si="29"/>
        <v/>
      </c>
      <c r="R178" t="str">
        <f t="shared" si="30"/>
        <v/>
      </c>
      <c r="AB178" t="s">
        <v>1118</v>
      </c>
      <c r="AC178" t="s">
        <v>1119</v>
      </c>
      <c r="AD178" t="s">
        <v>677</v>
      </c>
      <c r="AE178" t="s">
        <v>678</v>
      </c>
      <c r="AF178" t="s">
        <v>644</v>
      </c>
      <c r="AG178" t="s">
        <v>679</v>
      </c>
    </row>
    <row r="179" spans="1:33">
      <c r="A179" s="64" t="str">
        <f>IF(C179="","",VLOOKUP('OPĆI DIO'!$C$3,'OPĆI DIO'!$L$6:$U$138,10,FALSE))</f>
        <v/>
      </c>
      <c r="B179" s="64" t="str">
        <f>IF(C179="","",VLOOKUP('OPĆI DIO'!$C$3,'OPĆI DIO'!$L$6:$U$138,9,FALSE))</f>
        <v/>
      </c>
      <c r="C179" s="69"/>
      <c r="D179" s="64" t="str">
        <f t="shared" si="31"/>
        <v/>
      </c>
      <c r="E179" s="69"/>
      <c r="F179" s="64" t="str">
        <f t="shared" si="34"/>
        <v/>
      </c>
      <c r="G179" s="102"/>
      <c r="H179" s="64" t="str">
        <f t="shared" si="32"/>
        <v/>
      </c>
      <c r="I179" s="64" t="str">
        <f t="shared" si="33"/>
        <v/>
      </c>
      <c r="J179" s="101"/>
      <c r="K179" s="101"/>
      <c r="L179" s="101"/>
      <c r="M179" s="68"/>
      <c r="O179" t="str">
        <f t="shared" si="27"/>
        <v/>
      </c>
      <c r="P179" t="str">
        <f t="shared" si="28"/>
        <v/>
      </c>
      <c r="Q179" t="str">
        <f t="shared" si="29"/>
        <v/>
      </c>
      <c r="R179" t="str">
        <f t="shared" si="30"/>
        <v/>
      </c>
      <c r="AB179" t="s">
        <v>1120</v>
      </c>
      <c r="AC179" t="s">
        <v>1121</v>
      </c>
      <c r="AD179" t="s">
        <v>677</v>
      </c>
      <c r="AE179" t="s">
        <v>678</v>
      </c>
      <c r="AF179" t="s">
        <v>644</v>
      </c>
      <c r="AG179" t="s">
        <v>679</v>
      </c>
    </row>
    <row r="180" spans="1:33">
      <c r="A180" s="64" t="str">
        <f>IF(C180="","",VLOOKUP('OPĆI DIO'!$C$3,'OPĆI DIO'!$L$6:$U$138,10,FALSE))</f>
        <v/>
      </c>
      <c r="B180" s="64" t="str">
        <f>IF(C180="","",VLOOKUP('OPĆI DIO'!$C$3,'OPĆI DIO'!$L$6:$U$138,9,FALSE))</f>
        <v/>
      </c>
      <c r="C180" s="69"/>
      <c r="D180" s="64" t="str">
        <f t="shared" si="31"/>
        <v/>
      </c>
      <c r="E180" s="69"/>
      <c r="F180" s="64" t="str">
        <f t="shared" si="34"/>
        <v/>
      </c>
      <c r="G180" s="102"/>
      <c r="H180" s="64" t="str">
        <f t="shared" si="32"/>
        <v/>
      </c>
      <c r="I180" s="64" t="str">
        <f t="shared" si="33"/>
        <v/>
      </c>
      <c r="J180" s="101"/>
      <c r="K180" s="101"/>
      <c r="L180" s="101"/>
      <c r="M180" s="68"/>
      <c r="O180" t="str">
        <f t="shared" si="27"/>
        <v/>
      </c>
      <c r="P180" t="str">
        <f t="shared" si="28"/>
        <v/>
      </c>
      <c r="Q180" t="str">
        <f t="shared" si="29"/>
        <v/>
      </c>
      <c r="R180" t="str">
        <f t="shared" si="30"/>
        <v/>
      </c>
      <c r="AB180" t="s">
        <v>1122</v>
      </c>
      <c r="AC180" t="s">
        <v>1123</v>
      </c>
      <c r="AD180" t="s">
        <v>677</v>
      </c>
      <c r="AE180" t="s">
        <v>678</v>
      </c>
      <c r="AF180" t="s">
        <v>644</v>
      </c>
      <c r="AG180" t="s">
        <v>679</v>
      </c>
    </row>
    <row r="181" spans="1:33">
      <c r="A181" s="64" t="str">
        <f>IF(C181="","",VLOOKUP('OPĆI DIO'!$C$3,'OPĆI DIO'!$L$6:$U$138,10,FALSE))</f>
        <v/>
      </c>
      <c r="B181" s="64" t="str">
        <f>IF(C181="","",VLOOKUP('OPĆI DIO'!$C$3,'OPĆI DIO'!$L$6:$U$138,9,FALSE))</f>
        <v/>
      </c>
      <c r="C181" s="69"/>
      <c r="D181" s="64" t="str">
        <f t="shared" si="31"/>
        <v/>
      </c>
      <c r="E181" s="69"/>
      <c r="F181" s="64" t="str">
        <f t="shared" si="34"/>
        <v/>
      </c>
      <c r="G181" s="102"/>
      <c r="H181" s="64" t="str">
        <f t="shared" si="32"/>
        <v/>
      </c>
      <c r="I181" s="64" t="str">
        <f t="shared" si="33"/>
        <v/>
      </c>
      <c r="J181" s="101"/>
      <c r="K181" s="101"/>
      <c r="L181" s="101"/>
      <c r="M181" s="68"/>
      <c r="O181" t="str">
        <f t="shared" si="27"/>
        <v/>
      </c>
      <c r="P181" t="str">
        <f t="shared" si="28"/>
        <v/>
      </c>
      <c r="Q181" t="str">
        <f t="shared" si="29"/>
        <v/>
      </c>
      <c r="R181" t="str">
        <f t="shared" si="30"/>
        <v/>
      </c>
      <c r="AB181" t="s">
        <v>1124</v>
      </c>
      <c r="AC181" t="s">
        <v>1125</v>
      </c>
      <c r="AD181" t="s">
        <v>677</v>
      </c>
      <c r="AE181" t="s">
        <v>678</v>
      </c>
      <c r="AF181" t="s">
        <v>644</v>
      </c>
      <c r="AG181" t="s">
        <v>679</v>
      </c>
    </row>
    <row r="182" spans="1:33">
      <c r="A182" s="64" t="str">
        <f>IF(C182="","",VLOOKUP('OPĆI DIO'!$C$3,'OPĆI DIO'!$L$6:$U$138,10,FALSE))</f>
        <v/>
      </c>
      <c r="B182" s="64" t="str">
        <f>IF(C182="","",VLOOKUP('OPĆI DIO'!$C$3,'OPĆI DIO'!$L$6:$U$138,9,FALSE))</f>
        <v/>
      </c>
      <c r="C182" s="69"/>
      <c r="D182" s="64" t="str">
        <f t="shared" si="31"/>
        <v/>
      </c>
      <c r="E182" s="69"/>
      <c r="F182" s="64" t="str">
        <f t="shared" si="34"/>
        <v/>
      </c>
      <c r="G182" s="102"/>
      <c r="H182" s="64" t="str">
        <f t="shared" si="32"/>
        <v/>
      </c>
      <c r="I182" s="64" t="str">
        <f t="shared" si="33"/>
        <v/>
      </c>
      <c r="J182" s="101"/>
      <c r="K182" s="101"/>
      <c r="L182" s="101"/>
      <c r="M182" s="68"/>
      <c r="O182" t="str">
        <f t="shared" si="27"/>
        <v/>
      </c>
      <c r="P182" t="str">
        <f t="shared" si="28"/>
        <v/>
      </c>
      <c r="Q182" t="str">
        <f t="shared" si="29"/>
        <v/>
      </c>
      <c r="R182" t="str">
        <f t="shared" si="30"/>
        <v/>
      </c>
      <c r="AB182" t="s">
        <v>1126</v>
      </c>
      <c r="AC182" t="s">
        <v>1127</v>
      </c>
      <c r="AD182" t="s">
        <v>677</v>
      </c>
      <c r="AE182" t="s">
        <v>678</v>
      </c>
      <c r="AF182" t="s">
        <v>644</v>
      </c>
      <c r="AG182" t="s">
        <v>679</v>
      </c>
    </row>
    <row r="183" spans="1:33">
      <c r="A183" s="64" t="str">
        <f>IF(C183="","",VLOOKUP('OPĆI DIO'!$C$3,'OPĆI DIO'!$L$6:$U$138,10,FALSE))</f>
        <v/>
      </c>
      <c r="B183" s="64" t="str">
        <f>IF(C183="","",VLOOKUP('OPĆI DIO'!$C$3,'OPĆI DIO'!$L$6:$U$138,9,FALSE))</f>
        <v/>
      </c>
      <c r="C183" s="69"/>
      <c r="D183" s="64" t="str">
        <f t="shared" si="31"/>
        <v/>
      </c>
      <c r="E183" s="69"/>
      <c r="F183" s="64" t="str">
        <f t="shared" si="34"/>
        <v/>
      </c>
      <c r="G183" s="102"/>
      <c r="H183" s="64" t="str">
        <f t="shared" si="32"/>
        <v/>
      </c>
      <c r="I183" s="64" t="str">
        <f t="shared" si="33"/>
        <v/>
      </c>
      <c r="J183" s="101"/>
      <c r="K183" s="101"/>
      <c r="L183" s="101"/>
      <c r="M183" s="68"/>
      <c r="O183" t="str">
        <f t="shared" si="27"/>
        <v/>
      </c>
      <c r="P183" t="str">
        <f t="shared" si="28"/>
        <v/>
      </c>
      <c r="Q183" t="str">
        <f t="shared" si="29"/>
        <v/>
      </c>
      <c r="R183" t="str">
        <f t="shared" si="30"/>
        <v/>
      </c>
      <c r="AB183" t="s">
        <v>1128</v>
      </c>
      <c r="AC183" t="s">
        <v>1129</v>
      </c>
      <c r="AD183" t="s">
        <v>677</v>
      </c>
      <c r="AE183" t="s">
        <v>678</v>
      </c>
      <c r="AF183" t="s">
        <v>644</v>
      </c>
      <c r="AG183" t="s">
        <v>679</v>
      </c>
    </row>
    <row r="184" spans="1:33">
      <c r="A184" s="64" t="str">
        <f>IF(C184="","",VLOOKUP('OPĆI DIO'!$C$3,'OPĆI DIO'!$L$6:$U$138,10,FALSE))</f>
        <v/>
      </c>
      <c r="B184" s="64" t="str">
        <f>IF(C184="","",VLOOKUP('OPĆI DIO'!$C$3,'OPĆI DIO'!$L$6:$U$138,9,FALSE))</f>
        <v/>
      </c>
      <c r="C184" s="69"/>
      <c r="D184" s="64" t="str">
        <f t="shared" si="31"/>
        <v/>
      </c>
      <c r="E184" s="69"/>
      <c r="F184" s="64" t="str">
        <f t="shared" si="34"/>
        <v/>
      </c>
      <c r="G184" s="102"/>
      <c r="H184" s="64" t="str">
        <f t="shared" si="32"/>
        <v/>
      </c>
      <c r="I184" s="64" t="str">
        <f t="shared" si="33"/>
        <v/>
      </c>
      <c r="J184" s="101"/>
      <c r="K184" s="101"/>
      <c r="L184" s="101"/>
      <c r="M184" s="68"/>
      <c r="O184" t="str">
        <f t="shared" si="27"/>
        <v/>
      </c>
      <c r="P184" t="str">
        <f t="shared" si="28"/>
        <v/>
      </c>
      <c r="Q184" t="str">
        <f t="shared" si="29"/>
        <v/>
      </c>
      <c r="R184" t="str">
        <f t="shared" si="30"/>
        <v/>
      </c>
      <c r="AB184" t="s">
        <v>1130</v>
      </c>
      <c r="AC184" t="s">
        <v>1131</v>
      </c>
      <c r="AD184" t="s">
        <v>677</v>
      </c>
      <c r="AE184" t="s">
        <v>678</v>
      </c>
      <c r="AF184" t="s">
        <v>644</v>
      </c>
      <c r="AG184" t="s">
        <v>679</v>
      </c>
    </row>
    <row r="185" spans="1:33">
      <c r="A185" s="64" t="str">
        <f>IF(C185="","",VLOOKUP('OPĆI DIO'!$C$3,'OPĆI DIO'!$L$6:$U$138,10,FALSE))</f>
        <v/>
      </c>
      <c r="B185" s="64" t="str">
        <f>IF(C185="","",VLOOKUP('OPĆI DIO'!$C$3,'OPĆI DIO'!$L$6:$U$138,9,FALSE))</f>
        <v/>
      </c>
      <c r="C185" s="69"/>
      <c r="D185" s="64" t="str">
        <f t="shared" si="31"/>
        <v/>
      </c>
      <c r="E185" s="69"/>
      <c r="F185" s="64" t="str">
        <f t="shared" si="34"/>
        <v/>
      </c>
      <c r="G185" s="102"/>
      <c r="H185" s="64" t="str">
        <f t="shared" si="32"/>
        <v/>
      </c>
      <c r="I185" s="64" t="str">
        <f t="shared" si="33"/>
        <v/>
      </c>
      <c r="J185" s="101"/>
      <c r="K185" s="101"/>
      <c r="L185" s="101"/>
      <c r="M185" s="68"/>
      <c r="O185" t="str">
        <f t="shared" si="27"/>
        <v/>
      </c>
      <c r="P185" t="str">
        <f t="shared" si="28"/>
        <v/>
      </c>
      <c r="Q185" t="str">
        <f t="shared" si="29"/>
        <v/>
      </c>
      <c r="R185" t="str">
        <f t="shared" si="30"/>
        <v/>
      </c>
      <c r="AB185" t="s">
        <v>1132</v>
      </c>
      <c r="AC185" t="s">
        <v>1133</v>
      </c>
      <c r="AD185" t="s">
        <v>677</v>
      </c>
      <c r="AE185" t="s">
        <v>678</v>
      </c>
      <c r="AF185" t="s">
        <v>644</v>
      </c>
      <c r="AG185" t="s">
        <v>679</v>
      </c>
    </row>
    <row r="186" spans="1:33">
      <c r="A186" s="64" t="str">
        <f>IF(C186="","",VLOOKUP('OPĆI DIO'!$C$3,'OPĆI DIO'!$L$6:$U$138,10,FALSE))</f>
        <v/>
      </c>
      <c r="B186" s="64" t="str">
        <f>IF(C186="","",VLOOKUP('OPĆI DIO'!$C$3,'OPĆI DIO'!$L$6:$U$138,9,FALSE))</f>
        <v/>
      </c>
      <c r="C186" s="69"/>
      <c r="D186" s="64" t="str">
        <f t="shared" si="31"/>
        <v/>
      </c>
      <c r="E186" s="69"/>
      <c r="F186" s="64" t="str">
        <f t="shared" si="34"/>
        <v/>
      </c>
      <c r="G186" s="102"/>
      <c r="H186" s="64" t="str">
        <f t="shared" si="32"/>
        <v/>
      </c>
      <c r="I186" s="64" t="str">
        <f t="shared" si="33"/>
        <v/>
      </c>
      <c r="J186" s="101"/>
      <c r="K186" s="101"/>
      <c r="L186" s="101"/>
      <c r="M186" s="68"/>
      <c r="O186" t="str">
        <f t="shared" si="27"/>
        <v/>
      </c>
      <c r="P186" t="str">
        <f t="shared" si="28"/>
        <v/>
      </c>
      <c r="Q186" t="str">
        <f t="shared" si="29"/>
        <v/>
      </c>
      <c r="R186" t="str">
        <f t="shared" si="30"/>
        <v/>
      </c>
      <c r="AB186" t="s">
        <v>1134</v>
      </c>
      <c r="AC186" t="s">
        <v>1135</v>
      </c>
      <c r="AD186" t="s">
        <v>677</v>
      </c>
      <c r="AE186" t="s">
        <v>678</v>
      </c>
      <c r="AF186" t="s">
        <v>644</v>
      </c>
      <c r="AG186" t="s">
        <v>679</v>
      </c>
    </row>
    <row r="187" spans="1:33">
      <c r="A187" s="64" t="str">
        <f>IF(C187="","",VLOOKUP('OPĆI DIO'!$C$3,'OPĆI DIO'!$L$6:$U$138,10,FALSE))</f>
        <v/>
      </c>
      <c r="B187" s="64" t="str">
        <f>IF(C187="","",VLOOKUP('OPĆI DIO'!$C$3,'OPĆI DIO'!$L$6:$U$138,9,FALSE))</f>
        <v/>
      </c>
      <c r="C187" s="69"/>
      <c r="D187" s="64" t="str">
        <f t="shared" si="31"/>
        <v/>
      </c>
      <c r="E187" s="69"/>
      <c r="F187" s="64" t="str">
        <f t="shared" si="34"/>
        <v/>
      </c>
      <c r="G187" s="102"/>
      <c r="H187" s="64" t="str">
        <f t="shared" si="32"/>
        <v/>
      </c>
      <c r="I187" s="64" t="str">
        <f t="shared" si="33"/>
        <v/>
      </c>
      <c r="J187" s="101"/>
      <c r="K187" s="101"/>
      <c r="L187" s="101"/>
      <c r="M187" s="68"/>
      <c r="O187" t="str">
        <f t="shared" si="27"/>
        <v/>
      </c>
      <c r="P187" t="str">
        <f t="shared" si="28"/>
        <v/>
      </c>
      <c r="Q187" t="str">
        <f t="shared" si="29"/>
        <v/>
      </c>
      <c r="R187" t="str">
        <f t="shared" si="30"/>
        <v/>
      </c>
      <c r="AB187" t="s">
        <v>1136</v>
      </c>
      <c r="AC187" t="s">
        <v>1137</v>
      </c>
      <c r="AD187" t="s">
        <v>677</v>
      </c>
      <c r="AE187" t="s">
        <v>678</v>
      </c>
      <c r="AF187" t="s">
        <v>644</v>
      </c>
      <c r="AG187" t="s">
        <v>679</v>
      </c>
    </row>
    <row r="188" spans="1:33">
      <c r="A188" s="64" t="str">
        <f>IF(C188="","",VLOOKUP('OPĆI DIO'!$C$3,'OPĆI DIO'!$L$6:$U$138,10,FALSE))</f>
        <v/>
      </c>
      <c r="B188" s="64" t="str">
        <f>IF(C188="","",VLOOKUP('OPĆI DIO'!$C$3,'OPĆI DIO'!$L$6:$U$138,9,FALSE))</f>
        <v/>
      </c>
      <c r="C188" s="69"/>
      <c r="D188" s="64" t="str">
        <f t="shared" si="31"/>
        <v/>
      </c>
      <c r="E188" s="69"/>
      <c r="F188" s="64" t="str">
        <f t="shared" si="34"/>
        <v/>
      </c>
      <c r="G188" s="102"/>
      <c r="H188" s="64" t="str">
        <f t="shared" si="32"/>
        <v/>
      </c>
      <c r="I188" s="64" t="str">
        <f t="shared" si="33"/>
        <v/>
      </c>
      <c r="J188" s="101"/>
      <c r="K188" s="101"/>
      <c r="L188" s="101"/>
      <c r="M188" s="68"/>
      <c r="O188" t="str">
        <f t="shared" si="27"/>
        <v/>
      </c>
      <c r="P188" t="str">
        <f t="shared" si="28"/>
        <v/>
      </c>
      <c r="Q188" t="str">
        <f t="shared" si="29"/>
        <v/>
      </c>
      <c r="R188" t="str">
        <f t="shared" si="30"/>
        <v/>
      </c>
      <c r="AB188" t="s">
        <v>1138</v>
      </c>
      <c r="AC188" t="s">
        <v>1139</v>
      </c>
      <c r="AD188" t="s">
        <v>677</v>
      </c>
      <c r="AE188" t="s">
        <v>678</v>
      </c>
      <c r="AF188" t="s">
        <v>644</v>
      </c>
      <c r="AG188" t="s">
        <v>679</v>
      </c>
    </row>
    <row r="189" spans="1:33">
      <c r="A189" s="64" t="str">
        <f>IF(C189="","",VLOOKUP('OPĆI DIO'!$C$3,'OPĆI DIO'!$L$6:$U$138,10,FALSE))</f>
        <v/>
      </c>
      <c r="B189" s="64" t="str">
        <f>IF(C189="","",VLOOKUP('OPĆI DIO'!$C$3,'OPĆI DIO'!$L$6:$U$138,9,FALSE))</f>
        <v/>
      </c>
      <c r="C189" s="69"/>
      <c r="D189" s="64" t="str">
        <f t="shared" si="31"/>
        <v/>
      </c>
      <c r="E189" s="69"/>
      <c r="F189" s="64" t="str">
        <f t="shared" si="34"/>
        <v/>
      </c>
      <c r="G189" s="102"/>
      <c r="H189" s="64" t="str">
        <f t="shared" si="32"/>
        <v/>
      </c>
      <c r="I189" s="64" t="str">
        <f t="shared" si="33"/>
        <v/>
      </c>
      <c r="J189" s="101"/>
      <c r="K189" s="101"/>
      <c r="L189" s="101"/>
      <c r="M189" s="68"/>
      <c r="O189" t="str">
        <f t="shared" si="27"/>
        <v/>
      </c>
      <c r="P189" t="str">
        <f t="shared" si="28"/>
        <v/>
      </c>
      <c r="Q189" t="str">
        <f t="shared" si="29"/>
        <v/>
      </c>
      <c r="R189" t="str">
        <f t="shared" si="30"/>
        <v/>
      </c>
      <c r="AB189" t="s">
        <v>1140</v>
      </c>
      <c r="AC189" t="s">
        <v>1011</v>
      </c>
      <c r="AD189" t="s">
        <v>677</v>
      </c>
      <c r="AE189" t="s">
        <v>678</v>
      </c>
      <c r="AF189" t="s">
        <v>644</v>
      </c>
      <c r="AG189" t="s">
        <v>679</v>
      </c>
    </row>
    <row r="190" spans="1:33">
      <c r="A190" s="64" t="str">
        <f>IF(C190="","",VLOOKUP('OPĆI DIO'!$C$3,'OPĆI DIO'!$L$6:$U$138,10,FALSE))</f>
        <v/>
      </c>
      <c r="B190" s="64" t="str">
        <f>IF(C190="","",VLOOKUP('OPĆI DIO'!$C$3,'OPĆI DIO'!$L$6:$U$138,9,FALSE))</f>
        <v/>
      </c>
      <c r="C190" s="69"/>
      <c r="D190" s="64" t="str">
        <f t="shared" si="31"/>
        <v/>
      </c>
      <c r="E190" s="69"/>
      <c r="F190" s="64" t="str">
        <f t="shared" si="34"/>
        <v/>
      </c>
      <c r="G190" s="102"/>
      <c r="H190" s="64" t="str">
        <f t="shared" si="32"/>
        <v/>
      </c>
      <c r="I190" s="64" t="str">
        <f t="shared" si="33"/>
        <v/>
      </c>
      <c r="J190" s="101"/>
      <c r="K190" s="101"/>
      <c r="L190" s="101"/>
      <c r="M190" s="68"/>
      <c r="O190" t="str">
        <f t="shared" si="27"/>
        <v/>
      </c>
      <c r="P190" t="str">
        <f t="shared" si="28"/>
        <v/>
      </c>
      <c r="Q190" t="str">
        <f t="shared" si="29"/>
        <v/>
      </c>
      <c r="R190" t="str">
        <f t="shared" si="30"/>
        <v/>
      </c>
      <c r="AB190" t="s">
        <v>1141</v>
      </c>
      <c r="AC190" t="s">
        <v>1142</v>
      </c>
      <c r="AD190" t="s">
        <v>677</v>
      </c>
      <c r="AE190" t="s">
        <v>678</v>
      </c>
      <c r="AF190" t="s">
        <v>644</v>
      </c>
      <c r="AG190" t="s">
        <v>679</v>
      </c>
    </row>
    <row r="191" spans="1:33">
      <c r="A191" s="64" t="str">
        <f>IF(C191="","",VLOOKUP('OPĆI DIO'!$C$3,'OPĆI DIO'!$L$6:$U$138,10,FALSE))</f>
        <v/>
      </c>
      <c r="B191" s="64" t="str">
        <f>IF(C191="","",VLOOKUP('OPĆI DIO'!$C$3,'OPĆI DIO'!$L$6:$U$138,9,FALSE))</f>
        <v/>
      </c>
      <c r="C191" s="69"/>
      <c r="D191" s="64" t="str">
        <f t="shared" si="31"/>
        <v/>
      </c>
      <c r="E191" s="69"/>
      <c r="F191" s="64" t="str">
        <f t="shared" si="34"/>
        <v/>
      </c>
      <c r="G191" s="102"/>
      <c r="H191" s="64" t="str">
        <f t="shared" si="32"/>
        <v/>
      </c>
      <c r="I191" s="64" t="str">
        <f t="shared" si="33"/>
        <v/>
      </c>
      <c r="J191" s="101"/>
      <c r="K191" s="101"/>
      <c r="L191" s="101"/>
      <c r="M191" s="68"/>
      <c r="O191" t="str">
        <f t="shared" si="27"/>
        <v/>
      </c>
      <c r="P191" t="str">
        <f t="shared" si="28"/>
        <v/>
      </c>
      <c r="Q191" t="str">
        <f t="shared" si="29"/>
        <v/>
      </c>
      <c r="R191" t="str">
        <f t="shared" si="30"/>
        <v/>
      </c>
      <c r="AB191" t="s">
        <v>1143</v>
      </c>
      <c r="AC191" t="s">
        <v>1051</v>
      </c>
      <c r="AD191" t="s">
        <v>677</v>
      </c>
      <c r="AE191" t="s">
        <v>678</v>
      </c>
      <c r="AF191" t="s">
        <v>644</v>
      </c>
      <c r="AG191" t="s">
        <v>679</v>
      </c>
    </row>
    <row r="192" spans="1:33">
      <c r="A192" s="64" t="str">
        <f>IF(C192="","",VLOOKUP('OPĆI DIO'!$C$3,'OPĆI DIO'!$L$6:$U$138,10,FALSE))</f>
        <v/>
      </c>
      <c r="B192" s="64" t="str">
        <f>IF(C192="","",VLOOKUP('OPĆI DIO'!$C$3,'OPĆI DIO'!$L$6:$U$138,9,FALSE))</f>
        <v/>
      </c>
      <c r="C192" s="69"/>
      <c r="D192" s="64" t="str">
        <f t="shared" si="31"/>
        <v/>
      </c>
      <c r="E192" s="69"/>
      <c r="F192" s="64" t="str">
        <f t="shared" si="34"/>
        <v/>
      </c>
      <c r="G192" s="102"/>
      <c r="H192" s="64" t="str">
        <f t="shared" si="32"/>
        <v/>
      </c>
      <c r="I192" s="64" t="str">
        <f t="shared" si="33"/>
        <v/>
      </c>
      <c r="J192" s="101"/>
      <c r="K192" s="101"/>
      <c r="L192" s="101"/>
      <c r="M192" s="68"/>
      <c r="O192" t="str">
        <f t="shared" si="27"/>
        <v/>
      </c>
      <c r="P192" t="str">
        <f t="shared" si="28"/>
        <v/>
      </c>
      <c r="Q192" t="str">
        <f t="shared" si="29"/>
        <v/>
      </c>
      <c r="R192" t="str">
        <f t="shared" si="30"/>
        <v/>
      </c>
      <c r="AB192" t="s">
        <v>1144</v>
      </c>
      <c r="AC192" t="s">
        <v>1034</v>
      </c>
      <c r="AD192" t="s">
        <v>677</v>
      </c>
      <c r="AE192" t="s">
        <v>678</v>
      </c>
      <c r="AF192" t="s">
        <v>644</v>
      </c>
      <c r="AG192" t="s">
        <v>679</v>
      </c>
    </row>
    <row r="193" spans="1:33">
      <c r="A193" s="64" t="str">
        <f>IF(C193="","",VLOOKUP('OPĆI DIO'!$C$3,'OPĆI DIO'!$L$6:$U$138,10,FALSE))</f>
        <v/>
      </c>
      <c r="B193" s="64" t="str">
        <f>IF(C193="","",VLOOKUP('OPĆI DIO'!$C$3,'OPĆI DIO'!$L$6:$U$138,9,FALSE))</f>
        <v/>
      </c>
      <c r="C193" s="69"/>
      <c r="D193" s="64" t="str">
        <f t="shared" si="31"/>
        <v/>
      </c>
      <c r="E193" s="69"/>
      <c r="F193" s="64" t="str">
        <f t="shared" si="34"/>
        <v/>
      </c>
      <c r="G193" s="102"/>
      <c r="H193" s="64" t="str">
        <f t="shared" si="32"/>
        <v/>
      </c>
      <c r="I193" s="64" t="str">
        <f t="shared" si="33"/>
        <v/>
      </c>
      <c r="J193" s="101"/>
      <c r="K193" s="101"/>
      <c r="L193" s="101"/>
      <c r="M193" s="68"/>
      <c r="O193" t="str">
        <f t="shared" ref="O193:O256" si="35">LEFT(E193,3)</f>
        <v/>
      </c>
      <c r="P193" t="str">
        <f t="shared" ref="P193:P256" si="36">LEFT(E193,2)</f>
        <v/>
      </c>
      <c r="Q193" t="str">
        <f t="shared" ref="Q193:Q256" si="37">LEFT(C193,3)</f>
        <v/>
      </c>
      <c r="R193" t="str">
        <f t="shared" ref="R193:R256" si="38">MID(I193,2,2)</f>
        <v/>
      </c>
      <c r="AB193" t="s">
        <v>1145</v>
      </c>
      <c r="AC193" t="s">
        <v>1146</v>
      </c>
      <c r="AD193" t="s">
        <v>677</v>
      </c>
      <c r="AE193" t="s">
        <v>678</v>
      </c>
      <c r="AF193" t="s">
        <v>644</v>
      </c>
      <c r="AG193" t="s">
        <v>679</v>
      </c>
    </row>
    <row r="194" spans="1:33">
      <c r="A194" s="64" t="str">
        <f>IF(C194="","",VLOOKUP('OPĆI DIO'!$C$3,'OPĆI DIO'!$L$6:$U$138,10,FALSE))</f>
        <v/>
      </c>
      <c r="B194" s="64" t="str">
        <f>IF(C194="","",VLOOKUP('OPĆI DIO'!$C$3,'OPĆI DIO'!$L$6:$U$138,9,FALSE))</f>
        <v/>
      </c>
      <c r="C194" s="69"/>
      <c r="D194" s="64" t="str">
        <f t="shared" si="31"/>
        <v/>
      </c>
      <c r="E194" s="69"/>
      <c r="F194" s="64" t="str">
        <f t="shared" si="34"/>
        <v/>
      </c>
      <c r="G194" s="102"/>
      <c r="H194" s="64" t="str">
        <f t="shared" si="32"/>
        <v/>
      </c>
      <c r="I194" s="64" t="str">
        <f t="shared" si="33"/>
        <v/>
      </c>
      <c r="J194" s="101"/>
      <c r="K194" s="101"/>
      <c r="L194" s="101"/>
      <c r="M194" s="68"/>
      <c r="O194" t="str">
        <f t="shared" si="35"/>
        <v/>
      </c>
      <c r="P194" t="str">
        <f t="shared" si="36"/>
        <v/>
      </c>
      <c r="Q194" t="str">
        <f t="shared" si="37"/>
        <v/>
      </c>
      <c r="R194" t="str">
        <f t="shared" si="38"/>
        <v/>
      </c>
      <c r="AB194" t="s">
        <v>1147</v>
      </c>
      <c r="AC194" t="s">
        <v>1148</v>
      </c>
      <c r="AD194" t="s">
        <v>649</v>
      </c>
      <c r="AE194" t="s">
        <v>650</v>
      </c>
      <c r="AF194" t="s">
        <v>651</v>
      </c>
      <c r="AG194" t="s">
        <v>652</v>
      </c>
    </row>
    <row r="195" spans="1:33">
      <c r="A195" s="64" t="str">
        <f>IF(C195="","",VLOOKUP('OPĆI DIO'!$C$3,'OPĆI DIO'!$L$6:$U$138,10,FALSE))</f>
        <v/>
      </c>
      <c r="B195" s="64" t="str">
        <f>IF(C195="","",VLOOKUP('OPĆI DIO'!$C$3,'OPĆI DIO'!$L$6:$U$138,9,FALSE))</f>
        <v/>
      </c>
      <c r="C195" s="69"/>
      <c r="D195" s="64" t="str">
        <f t="shared" ref="D195:D258" si="39">IFERROR(VLOOKUP(C195,$S$6:$T$24,2,FALSE),"")</f>
        <v/>
      </c>
      <c r="E195" s="69"/>
      <c r="F195" s="64" t="str">
        <f t="shared" si="34"/>
        <v/>
      </c>
      <c r="G195" s="102"/>
      <c r="H195" s="64" t="str">
        <f t="shared" ref="H195:H258" si="40">IFERROR(VLOOKUP(G195,$AB$6:$AC$324,2,FALSE),"")</f>
        <v/>
      </c>
      <c r="I195" s="64" t="str">
        <f t="shared" ref="I195:I258" si="41">IFERROR(VLOOKUP(G195,$AB$6:$AF$324,3,FALSE),"")</f>
        <v/>
      </c>
      <c r="J195" s="101"/>
      <c r="K195" s="101"/>
      <c r="L195" s="101"/>
      <c r="M195" s="68"/>
      <c r="O195" t="str">
        <f t="shared" si="35"/>
        <v/>
      </c>
      <c r="P195" t="str">
        <f t="shared" si="36"/>
        <v/>
      </c>
      <c r="Q195" t="str">
        <f t="shared" si="37"/>
        <v/>
      </c>
      <c r="R195" t="str">
        <f t="shared" si="38"/>
        <v/>
      </c>
      <c r="AB195" t="s">
        <v>1149</v>
      </c>
      <c r="AC195" t="s">
        <v>1150</v>
      </c>
      <c r="AD195" t="s">
        <v>649</v>
      </c>
      <c r="AE195" t="s">
        <v>650</v>
      </c>
      <c r="AF195" t="s">
        <v>651</v>
      </c>
      <c r="AG195" t="s">
        <v>652</v>
      </c>
    </row>
    <row r="196" spans="1:33">
      <c r="A196" s="64" t="str">
        <f>IF(C196="","",VLOOKUP('OPĆI DIO'!$C$3,'OPĆI DIO'!$L$6:$U$138,10,FALSE))</f>
        <v/>
      </c>
      <c r="B196" s="64" t="str">
        <f>IF(C196="","",VLOOKUP('OPĆI DIO'!$C$3,'OPĆI DIO'!$L$6:$U$138,9,FALSE))</f>
        <v/>
      </c>
      <c r="C196" s="69"/>
      <c r="D196" s="64" t="str">
        <f t="shared" si="39"/>
        <v/>
      </c>
      <c r="E196" s="69"/>
      <c r="F196" s="64" t="str">
        <f t="shared" si="34"/>
        <v/>
      </c>
      <c r="G196" s="102"/>
      <c r="H196" s="64" t="str">
        <f t="shared" si="40"/>
        <v/>
      </c>
      <c r="I196" s="64" t="str">
        <f t="shared" si="41"/>
        <v/>
      </c>
      <c r="J196" s="101"/>
      <c r="K196" s="101"/>
      <c r="L196" s="101"/>
      <c r="M196" s="68"/>
      <c r="O196" t="str">
        <f t="shared" si="35"/>
        <v/>
      </c>
      <c r="P196" t="str">
        <f t="shared" si="36"/>
        <v/>
      </c>
      <c r="Q196" t="str">
        <f t="shared" si="37"/>
        <v/>
      </c>
      <c r="R196" t="str">
        <f t="shared" si="38"/>
        <v/>
      </c>
      <c r="AB196" t="s">
        <v>1151</v>
      </c>
      <c r="AC196" t="s">
        <v>1152</v>
      </c>
      <c r="AD196" t="s">
        <v>649</v>
      </c>
      <c r="AE196" t="s">
        <v>650</v>
      </c>
      <c r="AF196" t="s">
        <v>651</v>
      </c>
      <c r="AG196" t="s">
        <v>652</v>
      </c>
    </row>
    <row r="197" spans="1:33">
      <c r="A197" s="64" t="str">
        <f>IF(C197="","",VLOOKUP('OPĆI DIO'!$C$3,'OPĆI DIO'!$L$6:$U$138,10,FALSE))</f>
        <v/>
      </c>
      <c r="B197" s="64" t="str">
        <f>IF(C197="","",VLOOKUP('OPĆI DIO'!$C$3,'OPĆI DIO'!$L$6:$U$138,9,FALSE))</f>
        <v/>
      </c>
      <c r="C197" s="69"/>
      <c r="D197" s="64" t="str">
        <f t="shared" si="39"/>
        <v/>
      </c>
      <c r="E197" s="69"/>
      <c r="F197" s="64" t="str">
        <f t="shared" si="34"/>
        <v/>
      </c>
      <c r="G197" s="102"/>
      <c r="H197" s="64" t="str">
        <f t="shared" si="40"/>
        <v/>
      </c>
      <c r="I197" s="64" t="str">
        <f t="shared" si="41"/>
        <v/>
      </c>
      <c r="J197" s="101"/>
      <c r="K197" s="101"/>
      <c r="L197" s="101"/>
      <c r="M197" s="68"/>
      <c r="O197" t="str">
        <f t="shared" si="35"/>
        <v/>
      </c>
      <c r="P197" t="str">
        <f t="shared" si="36"/>
        <v/>
      </c>
      <c r="Q197" t="str">
        <f t="shared" si="37"/>
        <v/>
      </c>
      <c r="R197" t="str">
        <f t="shared" si="38"/>
        <v/>
      </c>
      <c r="AB197" t="s">
        <v>1153</v>
      </c>
      <c r="AC197" t="s">
        <v>1154</v>
      </c>
      <c r="AD197" t="s">
        <v>649</v>
      </c>
      <c r="AE197" t="s">
        <v>650</v>
      </c>
      <c r="AF197" t="s">
        <v>651</v>
      </c>
      <c r="AG197" t="s">
        <v>652</v>
      </c>
    </row>
    <row r="198" spans="1:33">
      <c r="A198" s="64" t="str">
        <f>IF(C198="","",VLOOKUP('OPĆI DIO'!$C$3,'OPĆI DIO'!$L$6:$U$138,10,FALSE))</f>
        <v/>
      </c>
      <c r="B198" s="64" t="str">
        <f>IF(C198="","",VLOOKUP('OPĆI DIO'!$C$3,'OPĆI DIO'!$L$6:$U$138,9,FALSE))</f>
        <v/>
      </c>
      <c r="C198" s="69"/>
      <c r="D198" s="64" t="str">
        <f t="shared" si="39"/>
        <v/>
      </c>
      <c r="E198" s="69"/>
      <c r="F198" s="64" t="str">
        <f t="shared" si="34"/>
        <v/>
      </c>
      <c r="G198" s="102"/>
      <c r="H198" s="64" t="str">
        <f t="shared" si="40"/>
        <v/>
      </c>
      <c r="I198" s="64" t="str">
        <f t="shared" si="41"/>
        <v/>
      </c>
      <c r="J198" s="101"/>
      <c r="K198" s="101"/>
      <c r="L198" s="101"/>
      <c r="M198" s="68"/>
      <c r="O198" t="str">
        <f t="shared" si="35"/>
        <v/>
      </c>
      <c r="P198" t="str">
        <f t="shared" si="36"/>
        <v/>
      </c>
      <c r="Q198" t="str">
        <f t="shared" si="37"/>
        <v/>
      </c>
      <c r="R198" t="str">
        <f t="shared" si="38"/>
        <v/>
      </c>
      <c r="AB198" t="s">
        <v>1155</v>
      </c>
      <c r="AC198" t="s">
        <v>771</v>
      </c>
      <c r="AD198" t="s">
        <v>649</v>
      </c>
      <c r="AE198" t="s">
        <v>650</v>
      </c>
      <c r="AF198" t="s">
        <v>651</v>
      </c>
      <c r="AG198" t="s">
        <v>652</v>
      </c>
    </row>
    <row r="199" spans="1:33">
      <c r="A199" s="64" t="str">
        <f>IF(C199="","",VLOOKUP('OPĆI DIO'!$C$3,'OPĆI DIO'!$L$6:$U$138,10,FALSE))</f>
        <v/>
      </c>
      <c r="B199" s="64" t="str">
        <f>IF(C199="","",VLOOKUP('OPĆI DIO'!$C$3,'OPĆI DIO'!$L$6:$U$138,9,FALSE))</f>
        <v/>
      </c>
      <c r="C199" s="69"/>
      <c r="D199" s="64" t="str">
        <f t="shared" si="39"/>
        <v/>
      </c>
      <c r="E199" s="69"/>
      <c r="F199" s="64" t="str">
        <f t="shared" si="34"/>
        <v/>
      </c>
      <c r="G199" s="102"/>
      <c r="H199" s="64" t="str">
        <f t="shared" si="40"/>
        <v/>
      </c>
      <c r="I199" s="64" t="str">
        <f t="shared" si="41"/>
        <v/>
      </c>
      <c r="J199" s="101"/>
      <c r="K199" s="101"/>
      <c r="L199" s="101"/>
      <c r="M199" s="68"/>
      <c r="O199" t="str">
        <f t="shared" si="35"/>
        <v/>
      </c>
      <c r="P199" t="str">
        <f t="shared" si="36"/>
        <v/>
      </c>
      <c r="Q199" t="str">
        <f t="shared" si="37"/>
        <v/>
      </c>
      <c r="R199" t="str">
        <f t="shared" si="38"/>
        <v/>
      </c>
      <c r="AB199" t="s">
        <v>1156</v>
      </c>
      <c r="AC199" t="s">
        <v>1157</v>
      </c>
      <c r="AD199" t="s">
        <v>649</v>
      </c>
      <c r="AE199" t="s">
        <v>650</v>
      </c>
      <c r="AF199" t="s">
        <v>651</v>
      </c>
      <c r="AG199" t="s">
        <v>652</v>
      </c>
    </row>
    <row r="200" spans="1:33">
      <c r="A200" s="64" t="str">
        <f>IF(C200="","",VLOOKUP('OPĆI DIO'!$C$3,'OPĆI DIO'!$L$6:$U$138,10,FALSE))</f>
        <v/>
      </c>
      <c r="B200" s="64" t="str">
        <f>IF(C200="","",VLOOKUP('OPĆI DIO'!$C$3,'OPĆI DIO'!$L$6:$U$138,9,FALSE))</f>
        <v/>
      </c>
      <c r="C200" s="69"/>
      <c r="D200" s="64" t="str">
        <f t="shared" si="39"/>
        <v/>
      </c>
      <c r="E200" s="69"/>
      <c r="F200" s="64" t="str">
        <f t="shared" si="34"/>
        <v/>
      </c>
      <c r="G200" s="102"/>
      <c r="H200" s="64" t="str">
        <f t="shared" si="40"/>
        <v/>
      </c>
      <c r="I200" s="64" t="str">
        <f t="shared" si="41"/>
        <v/>
      </c>
      <c r="J200" s="101"/>
      <c r="K200" s="101"/>
      <c r="L200" s="101"/>
      <c r="M200" s="68"/>
      <c r="O200" t="str">
        <f t="shared" si="35"/>
        <v/>
      </c>
      <c r="P200" t="str">
        <f t="shared" si="36"/>
        <v/>
      </c>
      <c r="Q200" t="str">
        <f t="shared" si="37"/>
        <v/>
      </c>
      <c r="R200" t="str">
        <f t="shared" si="38"/>
        <v/>
      </c>
      <c r="AB200" t="s">
        <v>1158</v>
      </c>
      <c r="AC200" t="s">
        <v>1159</v>
      </c>
      <c r="AD200" t="s">
        <v>649</v>
      </c>
      <c r="AE200" t="s">
        <v>650</v>
      </c>
      <c r="AF200" t="s">
        <v>651</v>
      </c>
      <c r="AG200" t="s">
        <v>652</v>
      </c>
    </row>
    <row r="201" spans="1:33">
      <c r="A201" s="64" t="str">
        <f>IF(C201="","",VLOOKUP('OPĆI DIO'!$C$3,'OPĆI DIO'!$L$6:$U$138,10,FALSE))</f>
        <v/>
      </c>
      <c r="B201" s="64" t="str">
        <f>IF(C201="","",VLOOKUP('OPĆI DIO'!$C$3,'OPĆI DIO'!$L$6:$U$138,9,FALSE))</f>
        <v/>
      </c>
      <c r="C201" s="69"/>
      <c r="D201" s="64" t="str">
        <f t="shared" si="39"/>
        <v/>
      </c>
      <c r="E201" s="69"/>
      <c r="F201" s="64" t="str">
        <f t="shared" si="34"/>
        <v/>
      </c>
      <c r="G201" s="102"/>
      <c r="H201" s="64" t="str">
        <f t="shared" si="40"/>
        <v/>
      </c>
      <c r="I201" s="64" t="str">
        <f t="shared" si="41"/>
        <v/>
      </c>
      <c r="J201" s="101"/>
      <c r="K201" s="101"/>
      <c r="L201" s="101"/>
      <c r="M201" s="68"/>
      <c r="O201" t="str">
        <f t="shared" si="35"/>
        <v/>
      </c>
      <c r="P201" t="str">
        <f t="shared" si="36"/>
        <v/>
      </c>
      <c r="Q201" t="str">
        <f t="shared" si="37"/>
        <v/>
      </c>
      <c r="R201" t="str">
        <f t="shared" si="38"/>
        <v/>
      </c>
      <c r="AB201" t="s">
        <v>1160</v>
      </c>
      <c r="AC201" t="s">
        <v>1161</v>
      </c>
      <c r="AD201" t="s">
        <v>649</v>
      </c>
      <c r="AE201" t="s">
        <v>650</v>
      </c>
      <c r="AF201" t="s">
        <v>651</v>
      </c>
      <c r="AG201" t="s">
        <v>652</v>
      </c>
    </row>
    <row r="202" spans="1:33">
      <c r="A202" s="64" t="str">
        <f>IF(C202="","",VLOOKUP('OPĆI DIO'!$C$3,'OPĆI DIO'!$L$6:$U$138,10,FALSE))</f>
        <v/>
      </c>
      <c r="B202" s="64" t="str">
        <f>IF(C202="","",VLOOKUP('OPĆI DIO'!$C$3,'OPĆI DIO'!$L$6:$U$138,9,FALSE))</f>
        <v/>
      </c>
      <c r="C202" s="69"/>
      <c r="D202" s="64" t="str">
        <f t="shared" si="39"/>
        <v/>
      </c>
      <c r="E202" s="69"/>
      <c r="F202" s="64" t="str">
        <f t="shared" si="34"/>
        <v/>
      </c>
      <c r="G202" s="102"/>
      <c r="H202" s="64" t="str">
        <f t="shared" si="40"/>
        <v/>
      </c>
      <c r="I202" s="64" t="str">
        <f t="shared" si="41"/>
        <v/>
      </c>
      <c r="J202" s="101"/>
      <c r="K202" s="101"/>
      <c r="L202" s="101"/>
      <c r="M202" s="68"/>
      <c r="O202" t="str">
        <f t="shared" si="35"/>
        <v/>
      </c>
      <c r="P202" t="str">
        <f t="shared" si="36"/>
        <v/>
      </c>
      <c r="Q202" t="str">
        <f t="shared" si="37"/>
        <v/>
      </c>
      <c r="R202" t="str">
        <f t="shared" si="38"/>
        <v/>
      </c>
      <c r="AB202" t="s">
        <v>1162</v>
      </c>
      <c r="AC202" t="s">
        <v>1163</v>
      </c>
      <c r="AD202" t="s">
        <v>649</v>
      </c>
      <c r="AE202" t="s">
        <v>650</v>
      </c>
      <c r="AF202" t="s">
        <v>651</v>
      </c>
      <c r="AG202" t="s">
        <v>652</v>
      </c>
    </row>
    <row r="203" spans="1:33">
      <c r="A203" s="64" t="str">
        <f>IF(C203="","",VLOOKUP('OPĆI DIO'!$C$3,'OPĆI DIO'!$L$6:$U$138,10,FALSE))</f>
        <v/>
      </c>
      <c r="B203" s="64" t="str">
        <f>IF(C203="","",VLOOKUP('OPĆI DIO'!$C$3,'OPĆI DIO'!$L$6:$U$138,9,FALSE))</f>
        <v/>
      </c>
      <c r="C203" s="69"/>
      <c r="D203" s="64" t="str">
        <f t="shared" si="39"/>
        <v/>
      </c>
      <c r="E203" s="69"/>
      <c r="F203" s="64" t="str">
        <f t="shared" si="34"/>
        <v/>
      </c>
      <c r="G203" s="102"/>
      <c r="H203" s="64" t="str">
        <f t="shared" si="40"/>
        <v/>
      </c>
      <c r="I203" s="64" t="str">
        <f t="shared" si="41"/>
        <v/>
      </c>
      <c r="J203" s="101"/>
      <c r="K203" s="101"/>
      <c r="L203" s="101"/>
      <c r="M203" s="68"/>
      <c r="O203" t="str">
        <f t="shared" si="35"/>
        <v/>
      </c>
      <c r="P203" t="str">
        <f t="shared" si="36"/>
        <v/>
      </c>
      <c r="Q203" t="str">
        <f t="shared" si="37"/>
        <v/>
      </c>
      <c r="R203" t="str">
        <f t="shared" si="38"/>
        <v/>
      </c>
      <c r="AB203" t="s">
        <v>1164</v>
      </c>
      <c r="AC203" t="s">
        <v>1051</v>
      </c>
      <c r="AD203" t="s">
        <v>649</v>
      </c>
      <c r="AE203" t="s">
        <v>650</v>
      </c>
      <c r="AF203" t="s">
        <v>651</v>
      </c>
      <c r="AG203" t="s">
        <v>652</v>
      </c>
    </row>
    <row r="204" spans="1:33">
      <c r="A204" s="64" t="str">
        <f>IF(C204="","",VLOOKUP('OPĆI DIO'!$C$3,'OPĆI DIO'!$L$6:$U$138,10,FALSE))</f>
        <v/>
      </c>
      <c r="B204" s="64" t="str">
        <f>IF(C204="","",VLOOKUP('OPĆI DIO'!$C$3,'OPĆI DIO'!$L$6:$U$138,9,FALSE))</f>
        <v/>
      </c>
      <c r="C204" s="69"/>
      <c r="D204" s="64" t="str">
        <f t="shared" si="39"/>
        <v/>
      </c>
      <c r="E204" s="69"/>
      <c r="F204" s="64" t="str">
        <f t="shared" si="34"/>
        <v/>
      </c>
      <c r="G204" s="102"/>
      <c r="H204" s="64" t="str">
        <f t="shared" si="40"/>
        <v/>
      </c>
      <c r="I204" s="64" t="str">
        <f t="shared" si="41"/>
        <v/>
      </c>
      <c r="J204" s="101"/>
      <c r="K204" s="101"/>
      <c r="L204" s="101"/>
      <c r="M204" s="68"/>
      <c r="O204" t="str">
        <f t="shared" si="35"/>
        <v/>
      </c>
      <c r="P204" t="str">
        <f t="shared" si="36"/>
        <v/>
      </c>
      <c r="Q204" t="str">
        <f t="shared" si="37"/>
        <v/>
      </c>
      <c r="R204" t="str">
        <f t="shared" si="38"/>
        <v/>
      </c>
      <c r="AB204" t="s">
        <v>1165</v>
      </c>
      <c r="AC204" t="s">
        <v>1034</v>
      </c>
      <c r="AD204" t="s">
        <v>649</v>
      </c>
      <c r="AE204" t="s">
        <v>650</v>
      </c>
      <c r="AF204" t="s">
        <v>651</v>
      </c>
      <c r="AG204" t="s">
        <v>652</v>
      </c>
    </row>
    <row r="205" spans="1:33">
      <c r="A205" s="64" t="str">
        <f>IF(C205="","",VLOOKUP('OPĆI DIO'!$C$3,'OPĆI DIO'!$L$6:$U$138,10,FALSE))</f>
        <v/>
      </c>
      <c r="B205" s="64" t="str">
        <f>IF(C205="","",VLOOKUP('OPĆI DIO'!$C$3,'OPĆI DIO'!$L$6:$U$138,9,FALSE))</f>
        <v/>
      </c>
      <c r="C205" s="69"/>
      <c r="D205" s="64" t="str">
        <f t="shared" si="39"/>
        <v/>
      </c>
      <c r="E205" s="69"/>
      <c r="F205" s="64" t="str">
        <f t="shared" si="34"/>
        <v/>
      </c>
      <c r="G205" s="102"/>
      <c r="H205" s="64" t="str">
        <f t="shared" si="40"/>
        <v/>
      </c>
      <c r="I205" s="64" t="str">
        <f t="shared" si="41"/>
        <v/>
      </c>
      <c r="J205" s="101"/>
      <c r="K205" s="101"/>
      <c r="L205" s="101"/>
      <c r="M205" s="68"/>
      <c r="O205" t="str">
        <f t="shared" si="35"/>
        <v/>
      </c>
      <c r="P205" t="str">
        <f t="shared" si="36"/>
        <v/>
      </c>
      <c r="Q205" t="str">
        <f t="shared" si="37"/>
        <v/>
      </c>
      <c r="R205" t="str">
        <f t="shared" si="38"/>
        <v/>
      </c>
      <c r="AB205" t="s">
        <v>1166</v>
      </c>
      <c r="AC205" t="s">
        <v>1167</v>
      </c>
      <c r="AD205" t="s">
        <v>649</v>
      </c>
      <c r="AE205" t="s">
        <v>650</v>
      </c>
      <c r="AF205" t="s">
        <v>651</v>
      </c>
      <c r="AG205" t="s">
        <v>652</v>
      </c>
    </row>
    <row r="206" spans="1:33">
      <c r="A206" s="64" t="str">
        <f>IF(C206="","",VLOOKUP('OPĆI DIO'!$C$3,'OPĆI DIO'!$L$6:$U$138,10,FALSE))</f>
        <v/>
      </c>
      <c r="B206" s="64" t="str">
        <f>IF(C206="","",VLOOKUP('OPĆI DIO'!$C$3,'OPĆI DIO'!$L$6:$U$138,9,FALSE))</f>
        <v/>
      </c>
      <c r="C206" s="69"/>
      <c r="D206" s="64" t="str">
        <f t="shared" si="39"/>
        <v/>
      </c>
      <c r="E206" s="69"/>
      <c r="F206" s="64" t="str">
        <f t="shared" si="34"/>
        <v/>
      </c>
      <c r="G206" s="102"/>
      <c r="H206" s="64" t="str">
        <f t="shared" si="40"/>
        <v/>
      </c>
      <c r="I206" s="64" t="str">
        <f t="shared" si="41"/>
        <v/>
      </c>
      <c r="J206" s="101"/>
      <c r="K206" s="101"/>
      <c r="L206" s="101"/>
      <c r="M206" s="68"/>
      <c r="O206" t="str">
        <f t="shared" si="35"/>
        <v/>
      </c>
      <c r="P206" t="str">
        <f t="shared" si="36"/>
        <v/>
      </c>
      <c r="Q206" t="str">
        <f t="shared" si="37"/>
        <v/>
      </c>
      <c r="R206" t="str">
        <f t="shared" si="38"/>
        <v/>
      </c>
      <c r="AB206" t="s">
        <v>1168</v>
      </c>
      <c r="AC206" t="s">
        <v>1169</v>
      </c>
      <c r="AD206" t="s">
        <v>649</v>
      </c>
      <c r="AE206" t="s">
        <v>650</v>
      </c>
      <c r="AF206" t="s">
        <v>651</v>
      </c>
      <c r="AG206" t="s">
        <v>652</v>
      </c>
    </row>
    <row r="207" spans="1:33">
      <c r="A207" s="64" t="str">
        <f>IF(C207="","",VLOOKUP('OPĆI DIO'!$C$3,'OPĆI DIO'!$L$6:$U$138,10,FALSE))</f>
        <v/>
      </c>
      <c r="B207" s="64" t="str">
        <f>IF(C207="","",VLOOKUP('OPĆI DIO'!$C$3,'OPĆI DIO'!$L$6:$U$138,9,FALSE))</f>
        <v/>
      </c>
      <c r="C207" s="69"/>
      <c r="D207" s="64" t="str">
        <f t="shared" si="39"/>
        <v/>
      </c>
      <c r="E207" s="69"/>
      <c r="F207" s="64" t="str">
        <f t="shared" ref="F207:F270" si="42">IFERROR(VLOOKUP(E207,$V$5:$X$127,2,FALSE),"")</f>
        <v/>
      </c>
      <c r="G207" s="102"/>
      <c r="H207" s="64" t="str">
        <f t="shared" si="40"/>
        <v/>
      </c>
      <c r="I207" s="64" t="str">
        <f t="shared" si="41"/>
        <v/>
      </c>
      <c r="J207" s="101"/>
      <c r="K207" s="101"/>
      <c r="L207" s="101"/>
      <c r="M207" s="68"/>
      <c r="O207" t="str">
        <f t="shared" si="35"/>
        <v/>
      </c>
      <c r="P207" t="str">
        <f t="shared" si="36"/>
        <v/>
      </c>
      <c r="Q207" t="str">
        <f t="shared" si="37"/>
        <v/>
      </c>
      <c r="R207" t="str">
        <f t="shared" si="38"/>
        <v/>
      </c>
      <c r="AB207" t="s">
        <v>1170</v>
      </c>
      <c r="AC207" t="s">
        <v>1171</v>
      </c>
      <c r="AD207" t="s">
        <v>649</v>
      </c>
      <c r="AE207" t="s">
        <v>650</v>
      </c>
      <c r="AF207" t="s">
        <v>651</v>
      </c>
      <c r="AG207" t="s">
        <v>652</v>
      </c>
    </row>
    <row r="208" spans="1:33">
      <c r="A208" s="64" t="str">
        <f>IF(C208="","",VLOOKUP('OPĆI DIO'!$C$3,'OPĆI DIO'!$L$6:$U$138,10,FALSE))</f>
        <v/>
      </c>
      <c r="B208" s="64" t="str">
        <f>IF(C208="","",VLOOKUP('OPĆI DIO'!$C$3,'OPĆI DIO'!$L$6:$U$138,9,FALSE))</f>
        <v/>
      </c>
      <c r="C208" s="69"/>
      <c r="D208" s="64" t="str">
        <f t="shared" si="39"/>
        <v/>
      </c>
      <c r="E208" s="69"/>
      <c r="F208" s="64" t="str">
        <f t="shared" si="42"/>
        <v/>
      </c>
      <c r="G208" s="102"/>
      <c r="H208" s="64" t="str">
        <f t="shared" si="40"/>
        <v/>
      </c>
      <c r="I208" s="64" t="str">
        <f t="shared" si="41"/>
        <v/>
      </c>
      <c r="J208" s="101"/>
      <c r="K208" s="101"/>
      <c r="L208" s="101"/>
      <c r="M208" s="68"/>
      <c r="O208" t="str">
        <f t="shared" si="35"/>
        <v/>
      </c>
      <c r="P208" t="str">
        <f t="shared" si="36"/>
        <v/>
      </c>
      <c r="Q208" t="str">
        <f t="shared" si="37"/>
        <v/>
      </c>
      <c r="R208" t="str">
        <f t="shared" si="38"/>
        <v/>
      </c>
      <c r="AB208" t="s">
        <v>1172</v>
      </c>
      <c r="AC208" t="s">
        <v>1173</v>
      </c>
      <c r="AD208" t="s">
        <v>686</v>
      </c>
      <c r="AE208" t="s">
        <v>687</v>
      </c>
      <c r="AF208" t="s">
        <v>688</v>
      </c>
      <c r="AG208" t="s">
        <v>689</v>
      </c>
    </row>
    <row r="209" spans="1:33">
      <c r="A209" s="64" t="str">
        <f>IF(C209="","",VLOOKUP('OPĆI DIO'!$C$3,'OPĆI DIO'!$L$6:$U$138,10,FALSE))</f>
        <v/>
      </c>
      <c r="B209" s="64" t="str">
        <f>IF(C209="","",VLOOKUP('OPĆI DIO'!$C$3,'OPĆI DIO'!$L$6:$U$138,9,FALSE))</f>
        <v/>
      </c>
      <c r="C209" s="69"/>
      <c r="D209" s="64" t="str">
        <f t="shared" si="39"/>
        <v/>
      </c>
      <c r="E209" s="69"/>
      <c r="F209" s="64" t="str">
        <f t="shared" si="42"/>
        <v/>
      </c>
      <c r="G209" s="102"/>
      <c r="H209" s="64" t="str">
        <f t="shared" si="40"/>
        <v/>
      </c>
      <c r="I209" s="64" t="str">
        <f t="shared" si="41"/>
        <v/>
      </c>
      <c r="J209" s="101"/>
      <c r="K209" s="101"/>
      <c r="L209" s="101"/>
      <c r="M209" s="68"/>
      <c r="O209" t="str">
        <f t="shared" si="35"/>
        <v/>
      </c>
      <c r="P209" t="str">
        <f t="shared" si="36"/>
        <v/>
      </c>
      <c r="Q209" t="str">
        <f t="shared" si="37"/>
        <v/>
      </c>
      <c r="R209" t="str">
        <f t="shared" si="38"/>
        <v/>
      </c>
      <c r="AB209" t="s">
        <v>1174</v>
      </c>
      <c r="AC209" t="s">
        <v>1175</v>
      </c>
      <c r="AD209" t="s">
        <v>686</v>
      </c>
      <c r="AE209" t="s">
        <v>687</v>
      </c>
      <c r="AF209" t="s">
        <v>688</v>
      </c>
      <c r="AG209" t="s">
        <v>689</v>
      </c>
    </row>
    <row r="210" spans="1:33">
      <c r="A210" s="64" t="str">
        <f>IF(C210="","",VLOOKUP('OPĆI DIO'!$C$3,'OPĆI DIO'!$L$6:$U$138,10,FALSE))</f>
        <v/>
      </c>
      <c r="B210" s="64" t="str">
        <f>IF(C210="","",VLOOKUP('OPĆI DIO'!$C$3,'OPĆI DIO'!$L$6:$U$138,9,FALSE))</f>
        <v/>
      </c>
      <c r="C210" s="69"/>
      <c r="D210" s="64" t="str">
        <f t="shared" si="39"/>
        <v/>
      </c>
      <c r="E210" s="69"/>
      <c r="F210" s="64" t="str">
        <f t="shared" si="42"/>
        <v/>
      </c>
      <c r="G210" s="102"/>
      <c r="H210" s="64" t="str">
        <f t="shared" si="40"/>
        <v/>
      </c>
      <c r="I210" s="64" t="str">
        <f t="shared" si="41"/>
        <v/>
      </c>
      <c r="J210" s="101"/>
      <c r="K210" s="101"/>
      <c r="L210" s="101"/>
      <c r="M210" s="68"/>
      <c r="O210" t="str">
        <f t="shared" si="35"/>
        <v/>
      </c>
      <c r="P210" t="str">
        <f t="shared" si="36"/>
        <v/>
      </c>
      <c r="Q210" t="str">
        <f t="shared" si="37"/>
        <v/>
      </c>
      <c r="R210" t="str">
        <f t="shared" si="38"/>
        <v/>
      </c>
      <c r="AB210" t="s">
        <v>1176</v>
      </c>
      <c r="AC210" t="s">
        <v>1177</v>
      </c>
      <c r="AD210" t="s">
        <v>686</v>
      </c>
      <c r="AE210" t="s">
        <v>687</v>
      </c>
      <c r="AF210" t="s">
        <v>688</v>
      </c>
      <c r="AG210" t="s">
        <v>689</v>
      </c>
    </row>
    <row r="211" spans="1:33">
      <c r="A211" s="64" t="str">
        <f>IF(C211="","",VLOOKUP('OPĆI DIO'!$C$3,'OPĆI DIO'!$L$6:$U$138,10,FALSE))</f>
        <v/>
      </c>
      <c r="B211" s="64" t="str">
        <f>IF(C211="","",VLOOKUP('OPĆI DIO'!$C$3,'OPĆI DIO'!$L$6:$U$138,9,FALSE))</f>
        <v/>
      </c>
      <c r="C211" s="69"/>
      <c r="D211" s="64" t="str">
        <f t="shared" si="39"/>
        <v/>
      </c>
      <c r="E211" s="69"/>
      <c r="F211" s="64" t="str">
        <f t="shared" si="42"/>
        <v/>
      </c>
      <c r="G211" s="102"/>
      <c r="H211" s="64" t="str">
        <f t="shared" si="40"/>
        <v/>
      </c>
      <c r="I211" s="64" t="str">
        <f t="shared" si="41"/>
        <v/>
      </c>
      <c r="J211" s="101"/>
      <c r="K211" s="101"/>
      <c r="L211" s="101"/>
      <c r="M211" s="68"/>
      <c r="O211" t="str">
        <f t="shared" si="35"/>
        <v/>
      </c>
      <c r="P211" t="str">
        <f t="shared" si="36"/>
        <v/>
      </c>
      <c r="Q211" t="str">
        <f t="shared" si="37"/>
        <v/>
      </c>
      <c r="R211" t="str">
        <f t="shared" si="38"/>
        <v/>
      </c>
      <c r="AB211" t="s">
        <v>1178</v>
      </c>
      <c r="AC211" t="s">
        <v>1179</v>
      </c>
      <c r="AD211" t="s">
        <v>686</v>
      </c>
      <c r="AE211" t="s">
        <v>687</v>
      </c>
      <c r="AF211" t="s">
        <v>688</v>
      </c>
      <c r="AG211" t="s">
        <v>689</v>
      </c>
    </row>
    <row r="212" spans="1:33">
      <c r="A212" s="64" t="str">
        <f>IF(C212="","",VLOOKUP('OPĆI DIO'!$C$3,'OPĆI DIO'!$L$6:$U$138,10,FALSE))</f>
        <v/>
      </c>
      <c r="B212" s="64" t="str">
        <f>IF(C212="","",VLOOKUP('OPĆI DIO'!$C$3,'OPĆI DIO'!$L$6:$U$138,9,FALSE))</f>
        <v/>
      </c>
      <c r="C212" s="69"/>
      <c r="D212" s="64" t="str">
        <f t="shared" si="39"/>
        <v/>
      </c>
      <c r="E212" s="69"/>
      <c r="F212" s="64" t="str">
        <f t="shared" si="42"/>
        <v/>
      </c>
      <c r="G212" s="102"/>
      <c r="H212" s="64" t="str">
        <f t="shared" si="40"/>
        <v/>
      </c>
      <c r="I212" s="64" t="str">
        <f t="shared" si="41"/>
        <v/>
      </c>
      <c r="J212" s="101"/>
      <c r="K212" s="101"/>
      <c r="L212" s="101"/>
      <c r="M212" s="68"/>
      <c r="O212" t="str">
        <f t="shared" si="35"/>
        <v/>
      </c>
      <c r="P212" t="str">
        <f t="shared" si="36"/>
        <v/>
      </c>
      <c r="Q212" t="str">
        <f t="shared" si="37"/>
        <v/>
      </c>
      <c r="R212" t="str">
        <f t="shared" si="38"/>
        <v/>
      </c>
      <c r="AB212" t="s">
        <v>1180</v>
      </c>
      <c r="AC212" t="s">
        <v>1181</v>
      </c>
      <c r="AD212" t="s">
        <v>1182</v>
      </c>
      <c r="AE212" t="s">
        <v>1183</v>
      </c>
      <c r="AF212" t="s">
        <v>651</v>
      </c>
      <c r="AG212" t="s">
        <v>1184</v>
      </c>
    </row>
    <row r="213" spans="1:33">
      <c r="A213" s="64" t="str">
        <f>IF(C213="","",VLOOKUP('OPĆI DIO'!$C$3,'OPĆI DIO'!$L$6:$U$138,10,FALSE))</f>
        <v/>
      </c>
      <c r="B213" s="64" t="str">
        <f>IF(C213="","",VLOOKUP('OPĆI DIO'!$C$3,'OPĆI DIO'!$L$6:$U$138,9,FALSE))</f>
        <v/>
      </c>
      <c r="C213" s="69"/>
      <c r="D213" s="64" t="str">
        <f t="shared" si="39"/>
        <v/>
      </c>
      <c r="E213" s="69"/>
      <c r="F213" s="64" t="str">
        <f t="shared" si="42"/>
        <v/>
      </c>
      <c r="G213" s="102"/>
      <c r="H213" s="64" t="str">
        <f t="shared" si="40"/>
        <v/>
      </c>
      <c r="I213" s="64" t="str">
        <f t="shared" si="41"/>
        <v/>
      </c>
      <c r="J213" s="101"/>
      <c r="K213" s="101"/>
      <c r="L213" s="101"/>
      <c r="M213" s="68"/>
      <c r="O213" t="str">
        <f t="shared" si="35"/>
        <v/>
      </c>
      <c r="P213" t="str">
        <f t="shared" si="36"/>
        <v/>
      </c>
      <c r="Q213" t="str">
        <f t="shared" si="37"/>
        <v/>
      </c>
      <c r="R213" t="str">
        <f t="shared" si="38"/>
        <v/>
      </c>
      <c r="AB213" t="s">
        <v>1185</v>
      </c>
      <c r="AC213" t="s">
        <v>1186</v>
      </c>
      <c r="AD213" t="s">
        <v>1182</v>
      </c>
      <c r="AE213" t="s">
        <v>1183</v>
      </c>
      <c r="AF213" t="s">
        <v>651</v>
      </c>
      <c r="AG213" t="s">
        <v>1184</v>
      </c>
    </row>
    <row r="214" spans="1:33">
      <c r="A214" s="64" t="str">
        <f>IF(C214="","",VLOOKUP('OPĆI DIO'!$C$3,'OPĆI DIO'!$L$6:$U$138,10,FALSE))</f>
        <v/>
      </c>
      <c r="B214" s="64" t="str">
        <f>IF(C214="","",VLOOKUP('OPĆI DIO'!$C$3,'OPĆI DIO'!$L$6:$U$138,9,FALSE))</f>
        <v/>
      </c>
      <c r="C214" s="69"/>
      <c r="D214" s="64" t="str">
        <f t="shared" si="39"/>
        <v/>
      </c>
      <c r="E214" s="69"/>
      <c r="F214" s="64" t="str">
        <f t="shared" si="42"/>
        <v/>
      </c>
      <c r="G214" s="102"/>
      <c r="H214" s="64" t="str">
        <f t="shared" si="40"/>
        <v/>
      </c>
      <c r="I214" s="64" t="str">
        <f t="shared" si="41"/>
        <v/>
      </c>
      <c r="J214" s="101"/>
      <c r="K214" s="101"/>
      <c r="L214" s="101"/>
      <c r="M214" s="68"/>
      <c r="O214" t="str">
        <f t="shared" si="35"/>
        <v/>
      </c>
      <c r="P214" t="str">
        <f t="shared" si="36"/>
        <v/>
      </c>
      <c r="Q214" t="str">
        <f t="shared" si="37"/>
        <v/>
      </c>
      <c r="R214" t="str">
        <f t="shared" si="38"/>
        <v/>
      </c>
      <c r="AB214" t="s">
        <v>1187</v>
      </c>
      <c r="AC214" t="s">
        <v>1188</v>
      </c>
      <c r="AD214" t="s">
        <v>1189</v>
      </c>
      <c r="AE214" t="s">
        <v>1190</v>
      </c>
      <c r="AF214" t="s">
        <v>1191</v>
      </c>
      <c r="AG214" t="s">
        <v>1192</v>
      </c>
    </row>
    <row r="215" spans="1:33">
      <c r="A215" s="64" t="str">
        <f>IF(C215="","",VLOOKUP('OPĆI DIO'!$C$3,'OPĆI DIO'!$L$6:$U$138,10,FALSE))</f>
        <v/>
      </c>
      <c r="B215" s="64" t="str">
        <f>IF(C215="","",VLOOKUP('OPĆI DIO'!$C$3,'OPĆI DIO'!$L$6:$U$138,9,FALSE))</f>
        <v/>
      </c>
      <c r="C215" s="69"/>
      <c r="D215" s="64" t="str">
        <f t="shared" si="39"/>
        <v/>
      </c>
      <c r="E215" s="69"/>
      <c r="F215" s="64" t="str">
        <f t="shared" si="42"/>
        <v/>
      </c>
      <c r="G215" s="102"/>
      <c r="H215" s="64" t="str">
        <f t="shared" si="40"/>
        <v/>
      </c>
      <c r="I215" s="64" t="str">
        <f t="shared" si="41"/>
        <v/>
      </c>
      <c r="J215" s="101"/>
      <c r="K215" s="101"/>
      <c r="L215" s="101"/>
      <c r="M215" s="68"/>
      <c r="O215" t="str">
        <f t="shared" si="35"/>
        <v/>
      </c>
      <c r="P215" t="str">
        <f t="shared" si="36"/>
        <v/>
      </c>
      <c r="Q215" t="str">
        <f t="shared" si="37"/>
        <v/>
      </c>
      <c r="R215" t="str">
        <f t="shared" si="38"/>
        <v/>
      </c>
      <c r="AB215" t="s">
        <v>1193</v>
      </c>
      <c r="AC215" t="s">
        <v>1194</v>
      </c>
      <c r="AD215" t="s">
        <v>1182</v>
      </c>
      <c r="AE215" t="s">
        <v>1183</v>
      </c>
      <c r="AF215" t="s">
        <v>651</v>
      </c>
      <c r="AG215" t="s">
        <v>1184</v>
      </c>
    </row>
    <row r="216" spans="1:33">
      <c r="A216" s="64" t="str">
        <f>IF(C216="","",VLOOKUP('OPĆI DIO'!$C$3,'OPĆI DIO'!$L$6:$U$138,10,FALSE))</f>
        <v/>
      </c>
      <c r="B216" s="64" t="str">
        <f>IF(C216="","",VLOOKUP('OPĆI DIO'!$C$3,'OPĆI DIO'!$L$6:$U$138,9,FALSE))</f>
        <v/>
      </c>
      <c r="C216" s="69"/>
      <c r="D216" s="64" t="str">
        <f t="shared" si="39"/>
        <v/>
      </c>
      <c r="E216" s="69"/>
      <c r="F216" s="64" t="str">
        <f t="shared" si="42"/>
        <v/>
      </c>
      <c r="G216" s="102"/>
      <c r="H216" s="64" t="str">
        <f t="shared" si="40"/>
        <v/>
      </c>
      <c r="I216" s="64" t="str">
        <f t="shared" si="41"/>
        <v/>
      </c>
      <c r="J216" s="101"/>
      <c r="K216" s="101"/>
      <c r="L216" s="101"/>
      <c r="M216" s="68"/>
      <c r="O216" t="str">
        <f t="shared" si="35"/>
        <v/>
      </c>
      <c r="P216" t="str">
        <f t="shared" si="36"/>
        <v/>
      </c>
      <c r="Q216" t="str">
        <f t="shared" si="37"/>
        <v/>
      </c>
      <c r="R216" t="str">
        <f t="shared" si="38"/>
        <v/>
      </c>
      <c r="AB216" t="s">
        <v>1195</v>
      </c>
      <c r="AC216" t="s">
        <v>1196</v>
      </c>
      <c r="AD216" t="s">
        <v>1182</v>
      </c>
      <c r="AE216" t="s">
        <v>1183</v>
      </c>
      <c r="AF216" t="s">
        <v>651</v>
      </c>
      <c r="AG216" t="s">
        <v>1184</v>
      </c>
    </row>
    <row r="217" spans="1:33">
      <c r="A217" s="64" t="str">
        <f>IF(C217="","",VLOOKUP('OPĆI DIO'!$C$3,'OPĆI DIO'!$L$6:$U$138,10,FALSE))</f>
        <v/>
      </c>
      <c r="B217" s="64" t="str">
        <f>IF(C217="","",VLOOKUP('OPĆI DIO'!$C$3,'OPĆI DIO'!$L$6:$U$138,9,FALSE))</f>
        <v/>
      </c>
      <c r="C217" s="69"/>
      <c r="D217" s="64" t="str">
        <f t="shared" si="39"/>
        <v/>
      </c>
      <c r="E217" s="69"/>
      <c r="F217" s="64" t="str">
        <f t="shared" si="42"/>
        <v/>
      </c>
      <c r="G217" s="102"/>
      <c r="H217" s="64" t="str">
        <f t="shared" si="40"/>
        <v/>
      </c>
      <c r="I217" s="64" t="str">
        <f t="shared" si="41"/>
        <v/>
      </c>
      <c r="J217" s="101"/>
      <c r="K217" s="101"/>
      <c r="L217" s="101"/>
      <c r="M217" s="68"/>
      <c r="O217" t="str">
        <f t="shared" si="35"/>
        <v/>
      </c>
      <c r="P217" t="str">
        <f t="shared" si="36"/>
        <v/>
      </c>
      <c r="Q217" t="str">
        <f t="shared" si="37"/>
        <v/>
      </c>
      <c r="R217" t="str">
        <f t="shared" si="38"/>
        <v/>
      </c>
      <c r="AB217" t="s">
        <v>1197</v>
      </c>
      <c r="AC217" t="s">
        <v>1198</v>
      </c>
      <c r="AD217" t="s">
        <v>1182</v>
      </c>
      <c r="AE217" t="s">
        <v>1183</v>
      </c>
      <c r="AF217" t="s">
        <v>651</v>
      </c>
      <c r="AG217" t="s">
        <v>1184</v>
      </c>
    </row>
    <row r="218" spans="1:33">
      <c r="A218" s="64" t="str">
        <f>IF(C218="","",VLOOKUP('OPĆI DIO'!$C$3,'OPĆI DIO'!$L$6:$U$138,10,FALSE))</f>
        <v/>
      </c>
      <c r="B218" s="64" t="str">
        <f>IF(C218="","",VLOOKUP('OPĆI DIO'!$C$3,'OPĆI DIO'!$L$6:$U$138,9,FALSE))</f>
        <v/>
      </c>
      <c r="C218" s="69"/>
      <c r="D218" s="64" t="str">
        <f t="shared" si="39"/>
        <v/>
      </c>
      <c r="E218" s="69"/>
      <c r="F218" s="64" t="str">
        <f t="shared" si="42"/>
        <v/>
      </c>
      <c r="G218" s="102"/>
      <c r="H218" s="64" t="str">
        <f t="shared" si="40"/>
        <v/>
      </c>
      <c r="I218" s="64" t="str">
        <f t="shared" si="41"/>
        <v/>
      </c>
      <c r="J218" s="101"/>
      <c r="K218" s="101"/>
      <c r="L218" s="101"/>
      <c r="M218" s="68"/>
      <c r="O218" t="str">
        <f t="shared" si="35"/>
        <v/>
      </c>
      <c r="P218" t="str">
        <f t="shared" si="36"/>
        <v/>
      </c>
      <c r="Q218" t="str">
        <f t="shared" si="37"/>
        <v/>
      </c>
      <c r="R218" t="str">
        <f t="shared" si="38"/>
        <v/>
      </c>
      <c r="AB218" t="s">
        <v>1199</v>
      </c>
      <c r="AC218" t="s">
        <v>1200</v>
      </c>
      <c r="AD218" t="s">
        <v>1182</v>
      </c>
      <c r="AE218" t="s">
        <v>1183</v>
      </c>
      <c r="AF218" t="s">
        <v>651</v>
      </c>
      <c r="AG218" t="s">
        <v>1184</v>
      </c>
    </row>
    <row r="219" spans="1:33">
      <c r="A219" s="64" t="str">
        <f>IF(C219="","",VLOOKUP('OPĆI DIO'!$C$3,'OPĆI DIO'!$L$6:$U$138,10,FALSE))</f>
        <v/>
      </c>
      <c r="B219" s="64" t="str">
        <f>IF(C219="","",VLOOKUP('OPĆI DIO'!$C$3,'OPĆI DIO'!$L$6:$U$138,9,FALSE))</f>
        <v/>
      </c>
      <c r="C219" s="69"/>
      <c r="D219" s="64" t="str">
        <f t="shared" si="39"/>
        <v/>
      </c>
      <c r="E219" s="69"/>
      <c r="F219" s="64" t="str">
        <f t="shared" si="42"/>
        <v/>
      </c>
      <c r="G219" s="102"/>
      <c r="H219" s="64" t="str">
        <f t="shared" si="40"/>
        <v/>
      </c>
      <c r="I219" s="64" t="str">
        <f t="shared" si="41"/>
        <v/>
      </c>
      <c r="J219" s="101"/>
      <c r="K219" s="101"/>
      <c r="L219" s="101"/>
      <c r="M219" s="68"/>
      <c r="O219" t="str">
        <f t="shared" si="35"/>
        <v/>
      </c>
      <c r="P219" t="str">
        <f t="shared" si="36"/>
        <v/>
      </c>
      <c r="Q219" t="str">
        <f t="shared" si="37"/>
        <v/>
      </c>
      <c r="R219" t="str">
        <f t="shared" si="38"/>
        <v/>
      </c>
      <c r="AB219" t="s">
        <v>1199</v>
      </c>
      <c r="AC219" t="s">
        <v>1200</v>
      </c>
      <c r="AD219" t="s">
        <v>657</v>
      </c>
      <c r="AE219" t="s">
        <v>658</v>
      </c>
      <c r="AF219" t="s">
        <v>644</v>
      </c>
      <c r="AG219" t="s">
        <v>659</v>
      </c>
    </row>
    <row r="220" spans="1:33">
      <c r="A220" s="64" t="str">
        <f>IF(C220="","",VLOOKUP('OPĆI DIO'!$C$3,'OPĆI DIO'!$L$6:$U$138,10,FALSE))</f>
        <v/>
      </c>
      <c r="B220" s="64" t="str">
        <f>IF(C220="","",VLOOKUP('OPĆI DIO'!$C$3,'OPĆI DIO'!$L$6:$U$138,9,FALSE))</f>
        <v/>
      </c>
      <c r="C220" s="69"/>
      <c r="D220" s="64" t="str">
        <f t="shared" si="39"/>
        <v/>
      </c>
      <c r="E220" s="69"/>
      <c r="F220" s="64" t="str">
        <f t="shared" si="42"/>
        <v/>
      </c>
      <c r="G220" s="102"/>
      <c r="H220" s="64" t="str">
        <f t="shared" si="40"/>
        <v/>
      </c>
      <c r="I220" s="64" t="str">
        <f t="shared" si="41"/>
        <v/>
      </c>
      <c r="J220" s="101"/>
      <c r="K220" s="101"/>
      <c r="L220" s="101"/>
      <c r="M220" s="68"/>
      <c r="O220" t="str">
        <f t="shared" si="35"/>
        <v/>
      </c>
      <c r="P220" t="str">
        <f t="shared" si="36"/>
        <v/>
      </c>
      <c r="Q220" t="str">
        <f t="shared" si="37"/>
        <v/>
      </c>
      <c r="R220" t="str">
        <f t="shared" si="38"/>
        <v/>
      </c>
      <c r="AB220" t="s">
        <v>1201</v>
      </c>
      <c r="AC220" t="s">
        <v>1202</v>
      </c>
      <c r="AD220" t="s">
        <v>1182</v>
      </c>
      <c r="AE220" t="s">
        <v>1183</v>
      </c>
      <c r="AF220" t="s">
        <v>651</v>
      </c>
      <c r="AG220" t="s">
        <v>1184</v>
      </c>
    </row>
    <row r="221" spans="1:33">
      <c r="A221" s="64" t="str">
        <f>IF(C221="","",VLOOKUP('OPĆI DIO'!$C$3,'OPĆI DIO'!$L$6:$U$138,10,FALSE))</f>
        <v/>
      </c>
      <c r="B221" s="64" t="str">
        <f>IF(C221="","",VLOOKUP('OPĆI DIO'!$C$3,'OPĆI DIO'!$L$6:$U$138,9,FALSE))</f>
        <v/>
      </c>
      <c r="C221" s="69"/>
      <c r="D221" s="64" t="str">
        <f t="shared" si="39"/>
        <v/>
      </c>
      <c r="E221" s="69"/>
      <c r="F221" s="64" t="str">
        <f t="shared" si="42"/>
        <v/>
      </c>
      <c r="G221" s="102"/>
      <c r="H221" s="64" t="str">
        <f t="shared" si="40"/>
        <v/>
      </c>
      <c r="I221" s="64" t="str">
        <f t="shared" si="41"/>
        <v/>
      </c>
      <c r="J221" s="101"/>
      <c r="K221" s="101"/>
      <c r="L221" s="101"/>
      <c r="M221" s="68"/>
      <c r="O221" t="str">
        <f t="shared" si="35"/>
        <v/>
      </c>
      <c r="P221" t="str">
        <f t="shared" si="36"/>
        <v/>
      </c>
      <c r="Q221" t="str">
        <f t="shared" si="37"/>
        <v/>
      </c>
      <c r="R221" t="str">
        <f t="shared" si="38"/>
        <v/>
      </c>
      <c r="AB221" t="s">
        <v>1203</v>
      </c>
      <c r="AC221" t="s">
        <v>1204</v>
      </c>
      <c r="AD221" t="s">
        <v>1182</v>
      </c>
      <c r="AE221" t="s">
        <v>1183</v>
      </c>
      <c r="AF221" t="s">
        <v>651</v>
      </c>
      <c r="AG221" t="s">
        <v>1184</v>
      </c>
    </row>
    <row r="222" spans="1:33">
      <c r="A222" s="64" t="str">
        <f>IF(C222="","",VLOOKUP('OPĆI DIO'!$C$3,'OPĆI DIO'!$L$6:$U$138,10,FALSE))</f>
        <v/>
      </c>
      <c r="B222" s="64" t="str">
        <f>IF(C222="","",VLOOKUP('OPĆI DIO'!$C$3,'OPĆI DIO'!$L$6:$U$138,9,FALSE))</f>
        <v/>
      </c>
      <c r="C222" s="69"/>
      <c r="D222" s="64" t="str">
        <f t="shared" si="39"/>
        <v/>
      </c>
      <c r="E222" s="69"/>
      <c r="F222" s="64" t="str">
        <f t="shared" si="42"/>
        <v/>
      </c>
      <c r="G222" s="102"/>
      <c r="H222" s="64" t="str">
        <f t="shared" si="40"/>
        <v/>
      </c>
      <c r="I222" s="64" t="str">
        <f t="shared" si="41"/>
        <v/>
      </c>
      <c r="J222" s="101"/>
      <c r="K222" s="101"/>
      <c r="L222" s="101"/>
      <c r="M222" s="68"/>
      <c r="O222" t="str">
        <f t="shared" si="35"/>
        <v/>
      </c>
      <c r="P222" t="str">
        <f t="shared" si="36"/>
        <v/>
      </c>
      <c r="Q222" t="str">
        <f t="shared" si="37"/>
        <v/>
      </c>
      <c r="R222" t="str">
        <f t="shared" si="38"/>
        <v/>
      </c>
      <c r="AB222" t="s">
        <v>1205</v>
      </c>
      <c r="AC222" t="s">
        <v>1206</v>
      </c>
      <c r="AD222" t="s">
        <v>1182</v>
      </c>
      <c r="AE222" t="s">
        <v>1183</v>
      </c>
      <c r="AF222" t="s">
        <v>651</v>
      </c>
      <c r="AG222" t="s">
        <v>1184</v>
      </c>
    </row>
    <row r="223" spans="1:33">
      <c r="A223" s="64" t="str">
        <f>IF(C223="","",VLOOKUP('OPĆI DIO'!$C$3,'OPĆI DIO'!$L$6:$U$138,10,FALSE))</f>
        <v/>
      </c>
      <c r="B223" s="64" t="str">
        <f>IF(C223="","",VLOOKUP('OPĆI DIO'!$C$3,'OPĆI DIO'!$L$6:$U$138,9,FALSE))</f>
        <v/>
      </c>
      <c r="C223" s="69"/>
      <c r="D223" s="64" t="str">
        <f t="shared" si="39"/>
        <v/>
      </c>
      <c r="E223" s="69"/>
      <c r="F223" s="64" t="str">
        <f t="shared" si="42"/>
        <v/>
      </c>
      <c r="G223" s="102"/>
      <c r="H223" s="64" t="str">
        <f t="shared" si="40"/>
        <v/>
      </c>
      <c r="I223" s="64" t="str">
        <f t="shared" si="41"/>
        <v/>
      </c>
      <c r="J223" s="101"/>
      <c r="K223" s="101"/>
      <c r="L223" s="101"/>
      <c r="M223" s="68"/>
      <c r="O223" t="str">
        <f t="shared" si="35"/>
        <v/>
      </c>
      <c r="P223" t="str">
        <f t="shared" si="36"/>
        <v/>
      </c>
      <c r="Q223" t="str">
        <f t="shared" si="37"/>
        <v/>
      </c>
      <c r="R223" t="str">
        <f t="shared" si="38"/>
        <v/>
      </c>
      <c r="AB223" t="s">
        <v>1207</v>
      </c>
      <c r="AC223" t="s">
        <v>1208</v>
      </c>
      <c r="AD223" t="s">
        <v>1182</v>
      </c>
      <c r="AE223" t="s">
        <v>1183</v>
      </c>
      <c r="AF223" t="s">
        <v>651</v>
      </c>
      <c r="AG223" t="s">
        <v>1184</v>
      </c>
    </row>
    <row r="224" spans="1:33">
      <c r="A224" s="64" t="str">
        <f>IF(C224="","",VLOOKUP('OPĆI DIO'!$C$3,'OPĆI DIO'!$L$6:$U$138,10,FALSE))</f>
        <v/>
      </c>
      <c r="B224" s="64" t="str">
        <f>IF(C224="","",VLOOKUP('OPĆI DIO'!$C$3,'OPĆI DIO'!$L$6:$U$138,9,FALSE))</f>
        <v/>
      </c>
      <c r="C224" s="69"/>
      <c r="D224" s="64" t="str">
        <f t="shared" si="39"/>
        <v/>
      </c>
      <c r="E224" s="69"/>
      <c r="F224" s="64" t="str">
        <f t="shared" si="42"/>
        <v/>
      </c>
      <c r="G224" s="102"/>
      <c r="H224" s="64" t="str">
        <f t="shared" si="40"/>
        <v/>
      </c>
      <c r="I224" s="64" t="str">
        <f t="shared" si="41"/>
        <v/>
      </c>
      <c r="J224" s="101"/>
      <c r="K224" s="101"/>
      <c r="L224" s="101"/>
      <c r="M224" s="68"/>
      <c r="O224" t="str">
        <f t="shared" si="35"/>
        <v/>
      </c>
      <c r="P224" t="str">
        <f t="shared" si="36"/>
        <v/>
      </c>
      <c r="Q224" t="str">
        <f t="shared" si="37"/>
        <v/>
      </c>
      <c r="R224" t="str">
        <f t="shared" si="38"/>
        <v/>
      </c>
      <c r="AB224" t="s">
        <v>1209</v>
      </c>
      <c r="AC224" t="s">
        <v>1210</v>
      </c>
      <c r="AD224" t="s">
        <v>657</v>
      </c>
      <c r="AE224" t="s">
        <v>658</v>
      </c>
      <c r="AF224" t="s">
        <v>644</v>
      </c>
      <c r="AG224" t="s">
        <v>659</v>
      </c>
    </row>
    <row r="225" spans="1:33">
      <c r="A225" s="64" t="str">
        <f>IF(C225="","",VLOOKUP('OPĆI DIO'!$C$3,'OPĆI DIO'!$L$6:$U$138,10,FALSE))</f>
        <v/>
      </c>
      <c r="B225" s="64" t="str">
        <f>IF(C225="","",VLOOKUP('OPĆI DIO'!$C$3,'OPĆI DIO'!$L$6:$U$138,9,FALSE))</f>
        <v/>
      </c>
      <c r="C225" s="69"/>
      <c r="D225" s="64" t="str">
        <f t="shared" si="39"/>
        <v/>
      </c>
      <c r="E225" s="69"/>
      <c r="F225" s="64" t="str">
        <f t="shared" si="42"/>
        <v/>
      </c>
      <c r="G225" s="102"/>
      <c r="H225" s="64" t="str">
        <f t="shared" si="40"/>
        <v/>
      </c>
      <c r="I225" s="64" t="str">
        <f t="shared" si="41"/>
        <v/>
      </c>
      <c r="J225" s="101"/>
      <c r="K225" s="101"/>
      <c r="L225" s="101"/>
      <c r="M225" s="68"/>
      <c r="O225" t="str">
        <f t="shared" si="35"/>
        <v/>
      </c>
      <c r="P225" t="str">
        <f t="shared" si="36"/>
        <v/>
      </c>
      <c r="Q225" t="str">
        <f t="shared" si="37"/>
        <v/>
      </c>
      <c r="R225" t="str">
        <f t="shared" si="38"/>
        <v/>
      </c>
      <c r="AB225" t="s">
        <v>1211</v>
      </c>
      <c r="AC225" t="s">
        <v>1059</v>
      </c>
      <c r="AD225" t="s">
        <v>657</v>
      </c>
      <c r="AE225" t="s">
        <v>658</v>
      </c>
      <c r="AF225" t="s">
        <v>644</v>
      </c>
      <c r="AG225" t="s">
        <v>659</v>
      </c>
    </row>
    <row r="226" spans="1:33">
      <c r="A226" s="64" t="str">
        <f>IF(C226="","",VLOOKUP('OPĆI DIO'!$C$3,'OPĆI DIO'!$L$6:$U$138,10,FALSE))</f>
        <v/>
      </c>
      <c r="B226" s="64" t="str">
        <f>IF(C226="","",VLOOKUP('OPĆI DIO'!$C$3,'OPĆI DIO'!$L$6:$U$138,9,FALSE))</f>
        <v/>
      </c>
      <c r="C226" s="69"/>
      <c r="D226" s="64" t="str">
        <f t="shared" si="39"/>
        <v/>
      </c>
      <c r="E226" s="69"/>
      <c r="F226" s="64" t="str">
        <f t="shared" si="42"/>
        <v/>
      </c>
      <c r="G226" s="102"/>
      <c r="H226" s="64" t="str">
        <f t="shared" si="40"/>
        <v/>
      </c>
      <c r="I226" s="64" t="str">
        <f t="shared" si="41"/>
        <v/>
      </c>
      <c r="J226" s="101"/>
      <c r="K226" s="101"/>
      <c r="L226" s="101"/>
      <c r="M226" s="68"/>
      <c r="O226" t="str">
        <f t="shared" si="35"/>
        <v/>
      </c>
      <c r="P226" t="str">
        <f t="shared" si="36"/>
        <v/>
      </c>
      <c r="Q226" t="str">
        <f t="shared" si="37"/>
        <v/>
      </c>
      <c r="R226" t="str">
        <f t="shared" si="38"/>
        <v/>
      </c>
      <c r="AB226" t="s">
        <v>1212</v>
      </c>
      <c r="AC226" t="s">
        <v>1213</v>
      </c>
      <c r="AD226" t="s">
        <v>1182</v>
      </c>
      <c r="AE226" t="s">
        <v>1183</v>
      </c>
      <c r="AF226" t="s">
        <v>651</v>
      </c>
      <c r="AG226" t="s">
        <v>1184</v>
      </c>
    </row>
    <row r="227" spans="1:33">
      <c r="A227" s="64" t="str">
        <f>IF(C227="","",VLOOKUP('OPĆI DIO'!$C$3,'OPĆI DIO'!$L$6:$U$138,10,FALSE))</f>
        <v/>
      </c>
      <c r="B227" s="64" t="str">
        <f>IF(C227="","",VLOOKUP('OPĆI DIO'!$C$3,'OPĆI DIO'!$L$6:$U$138,9,FALSE))</f>
        <v/>
      </c>
      <c r="C227" s="69"/>
      <c r="D227" s="64" t="str">
        <f t="shared" si="39"/>
        <v/>
      </c>
      <c r="E227" s="69"/>
      <c r="F227" s="64" t="str">
        <f t="shared" si="42"/>
        <v/>
      </c>
      <c r="G227" s="102"/>
      <c r="H227" s="64" t="str">
        <f t="shared" si="40"/>
        <v/>
      </c>
      <c r="I227" s="64" t="str">
        <f t="shared" si="41"/>
        <v/>
      </c>
      <c r="J227" s="101"/>
      <c r="K227" s="101"/>
      <c r="L227" s="101"/>
      <c r="M227" s="68"/>
      <c r="O227" t="str">
        <f t="shared" si="35"/>
        <v/>
      </c>
      <c r="P227" t="str">
        <f t="shared" si="36"/>
        <v/>
      </c>
      <c r="Q227" t="str">
        <f t="shared" si="37"/>
        <v/>
      </c>
      <c r="R227" t="str">
        <f t="shared" si="38"/>
        <v/>
      </c>
      <c r="AB227" t="s">
        <v>1214</v>
      </c>
      <c r="AC227" t="s">
        <v>1215</v>
      </c>
      <c r="AD227" t="s">
        <v>649</v>
      </c>
      <c r="AE227" t="s">
        <v>650</v>
      </c>
      <c r="AF227" t="s">
        <v>651</v>
      </c>
      <c r="AG227" t="s">
        <v>652</v>
      </c>
    </row>
    <row r="228" spans="1:33">
      <c r="A228" s="64" t="str">
        <f>IF(C228="","",VLOOKUP('OPĆI DIO'!$C$3,'OPĆI DIO'!$L$6:$U$138,10,FALSE))</f>
        <v/>
      </c>
      <c r="B228" s="64" t="str">
        <f>IF(C228="","",VLOOKUP('OPĆI DIO'!$C$3,'OPĆI DIO'!$L$6:$U$138,9,FALSE))</f>
        <v/>
      </c>
      <c r="C228" s="69"/>
      <c r="D228" s="64" t="str">
        <f t="shared" si="39"/>
        <v/>
      </c>
      <c r="E228" s="69"/>
      <c r="F228" s="64" t="str">
        <f t="shared" si="42"/>
        <v/>
      </c>
      <c r="G228" s="102"/>
      <c r="H228" s="64" t="str">
        <f t="shared" si="40"/>
        <v/>
      </c>
      <c r="I228" s="64" t="str">
        <f t="shared" si="41"/>
        <v/>
      </c>
      <c r="J228" s="101"/>
      <c r="K228" s="101"/>
      <c r="L228" s="101"/>
      <c r="M228" s="68"/>
      <c r="O228" t="str">
        <f t="shared" si="35"/>
        <v/>
      </c>
      <c r="P228" t="str">
        <f t="shared" si="36"/>
        <v/>
      </c>
      <c r="Q228" t="str">
        <f t="shared" si="37"/>
        <v/>
      </c>
      <c r="R228" t="str">
        <f t="shared" si="38"/>
        <v/>
      </c>
      <c r="AB228" t="s">
        <v>1216</v>
      </c>
      <c r="AC228" t="s">
        <v>1217</v>
      </c>
      <c r="AD228" t="s">
        <v>649</v>
      </c>
      <c r="AE228" t="s">
        <v>650</v>
      </c>
      <c r="AF228" t="s">
        <v>651</v>
      </c>
      <c r="AG228" t="s">
        <v>652</v>
      </c>
    </row>
    <row r="229" spans="1:33">
      <c r="A229" s="64" t="str">
        <f>IF(C229="","",VLOOKUP('OPĆI DIO'!$C$3,'OPĆI DIO'!$L$6:$U$138,10,FALSE))</f>
        <v/>
      </c>
      <c r="B229" s="64" t="str">
        <f>IF(C229="","",VLOOKUP('OPĆI DIO'!$C$3,'OPĆI DIO'!$L$6:$U$138,9,FALSE))</f>
        <v/>
      </c>
      <c r="C229" s="69"/>
      <c r="D229" s="64" t="str">
        <f t="shared" si="39"/>
        <v/>
      </c>
      <c r="E229" s="69"/>
      <c r="F229" s="64" t="str">
        <f t="shared" si="42"/>
        <v/>
      </c>
      <c r="G229" s="102"/>
      <c r="H229" s="64" t="str">
        <f t="shared" si="40"/>
        <v/>
      </c>
      <c r="I229" s="64" t="str">
        <f t="shared" si="41"/>
        <v/>
      </c>
      <c r="J229" s="101"/>
      <c r="K229" s="101"/>
      <c r="L229" s="101"/>
      <c r="M229" s="68"/>
      <c r="O229" t="str">
        <f t="shared" si="35"/>
        <v/>
      </c>
      <c r="P229" t="str">
        <f t="shared" si="36"/>
        <v/>
      </c>
      <c r="Q229" t="str">
        <f t="shared" si="37"/>
        <v/>
      </c>
      <c r="R229" t="str">
        <f t="shared" si="38"/>
        <v/>
      </c>
      <c r="AB229" t="s">
        <v>1218</v>
      </c>
      <c r="AC229" t="s">
        <v>1219</v>
      </c>
      <c r="AD229" t="s">
        <v>1182</v>
      </c>
      <c r="AE229" t="s">
        <v>1183</v>
      </c>
      <c r="AF229" t="s">
        <v>651</v>
      </c>
      <c r="AG229" t="s">
        <v>1184</v>
      </c>
    </row>
    <row r="230" spans="1:33">
      <c r="A230" s="64" t="str">
        <f>IF(C230="","",VLOOKUP('OPĆI DIO'!$C$3,'OPĆI DIO'!$L$6:$U$138,10,FALSE))</f>
        <v/>
      </c>
      <c r="B230" s="64" t="str">
        <f>IF(C230="","",VLOOKUP('OPĆI DIO'!$C$3,'OPĆI DIO'!$L$6:$U$138,9,FALSE))</f>
        <v/>
      </c>
      <c r="C230" s="69"/>
      <c r="D230" s="64" t="str">
        <f t="shared" si="39"/>
        <v/>
      </c>
      <c r="E230" s="69"/>
      <c r="F230" s="64" t="str">
        <f t="shared" si="42"/>
        <v/>
      </c>
      <c r="G230" s="102"/>
      <c r="H230" s="64" t="str">
        <f t="shared" si="40"/>
        <v/>
      </c>
      <c r="I230" s="64" t="str">
        <f t="shared" si="41"/>
        <v/>
      </c>
      <c r="J230" s="101"/>
      <c r="K230" s="101"/>
      <c r="L230" s="101"/>
      <c r="M230" s="68"/>
      <c r="O230" t="str">
        <f t="shared" si="35"/>
        <v/>
      </c>
      <c r="P230" t="str">
        <f t="shared" si="36"/>
        <v/>
      </c>
      <c r="Q230" t="str">
        <f t="shared" si="37"/>
        <v/>
      </c>
      <c r="R230" t="str">
        <f t="shared" si="38"/>
        <v/>
      </c>
      <c r="AB230" t="s">
        <v>1220</v>
      </c>
      <c r="AC230" t="s">
        <v>1221</v>
      </c>
      <c r="AD230" t="s">
        <v>1182</v>
      </c>
      <c r="AE230" t="s">
        <v>1183</v>
      </c>
      <c r="AF230" t="s">
        <v>651</v>
      </c>
      <c r="AG230" t="s">
        <v>1184</v>
      </c>
    </row>
    <row r="231" spans="1:33">
      <c r="A231" s="64" t="str">
        <f>IF(C231="","",VLOOKUP('OPĆI DIO'!$C$3,'OPĆI DIO'!$L$6:$U$138,10,FALSE))</f>
        <v/>
      </c>
      <c r="B231" s="64" t="str">
        <f>IF(C231="","",VLOOKUP('OPĆI DIO'!$C$3,'OPĆI DIO'!$L$6:$U$138,9,FALSE))</f>
        <v/>
      </c>
      <c r="C231" s="69"/>
      <c r="D231" s="64" t="str">
        <f t="shared" si="39"/>
        <v/>
      </c>
      <c r="E231" s="69"/>
      <c r="F231" s="64" t="str">
        <f t="shared" si="42"/>
        <v/>
      </c>
      <c r="G231" s="102"/>
      <c r="H231" s="64" t="str">
        <f t="shared" si="40"/>
        <v/>
      </c>
      <c r="I231" s="64" t="str">
        <f t="shared" si="41"/>
        <v/>
      </c>
      <c r="J231" s="101"/>
      <c r="K231" s="101"/>
      <c r="L231" s="101"/>
      <c r="M231" s="68"/>
      <c r="O231" t="str">
        <f t="shared" si="35"/>
        <v/>
      </c>
      <c r="P231" t="str">
        <f t="shared" si="36"/>
        <v/>
      </c>
      <c r="Q231" t="str">
        <f t="shared" si="37"/>
        <v/>
      </c>
      <c r="R231" t="str">
        <f t="shared" si="38"/>
        <v/>
      </c>
      <c r="AB231" t="s">
        <v>1222</v>
      </c>
      <c r="AC231" t="s">
        <v>1223</v>
      </c>
      <c r="AD231" t="s">
        <v>1182</v>
      </c>
      <c r="AE231" t="s">
        <v>1183</v>
      </c>
      <c r="AF231" t="s">
        <v>651</v>
      </c>
      <c r="AG231" t="s">
        <v>1184</v>
      </c>
    </row>
    <row r="232" spans="1:33">
      <c r="A232" s="64" t="str">
        <f>IF(C232="","",VLOOKUP('OPĆI DIO'!$C$3,'OPĆI DIO'!$L$6:$U$138,10,FALSE))</f>
        <v/>
      </c>
      <c r="B232" s="64" t="str">
        <f>IF(C232="","",VLOOKUP('OPĆI DIO'!$C$3,'OPĆI DIO'!$L$6:$U$138,9,FALSE))</f>
        <v/>
      </c>
      <c r="C232" s="69"/>
      <c r="D232" s="64" t="str">
        <f t="shared" si="39"/>
        <v/>
      </c>
      <c r="E232" s="69"/>
      <c r="F232" s="64" t="str">
        <f t="shared" si="42"/>
        <v/>
      </c>
      <c r="G232" s="102"/>
      <c r="H232" s="64" t="str">
        <f t="shared" si="40"/>
        <v/>
      </c>
      <c r="I232" s="64" t="str">
        <f t="shared" si="41"/>
        <v/>
      </c>
      <c r="J232" s="101"/>
      <c r="K232" s="101"/>
      <c r="L232" s="101"/>
      <c r="M232" s="68"/>
      <c r="O232" t="str">
        <f t="shared" si="35"/>
        <v/>
      </c>
      <c r="P232" t="str">
        <f t="shared" si="36"/>
        <v/>
      </c>
      <c r="Q232" t="str">
        <f t="shared" si="37"/>
        <v/>
      </c>
      <c r="R232" t="str">
        <f t="shared" si="38"/>
        <v/>
      </c>
      <c r="AB232" t="s">
        <v>1224</v>
      </c>
      <c r="AC232" t="s">
        <v>1225</v>
      </c>
      <c r="AD232" t="s">
        <v>1182</v>
      </c>
      <c r="AE232" t="s">
        <v>1183</v>
      </c>
      <c r="AF232" t="s">
        <v>651</v>
      </c>
      <c r="AG232" t="s">
        <v>1184</v>
      </c>
    </row>
    <row r="233" spans="1:33">
      <c r="A233" s="64" t="str">
        <f>IF(C233="","",VLOOKUP('OPĆI DIO'!$C$3,'OPĆI DIO'!$L$6:$U$138,10,FALSE))</f>
        <v/>
      </c>
      <c r="B233" s="64" t="str">
        <f>IF(C233="","",VLOOKUP('OPĆI DIO'!$C$3,'OPĆI DIO'!$L$6:$U$138,9,FALSE))</f>
        <v/>
      </c>
      <c r="C233" s="69"/>
      <c r="D233" s="64" t="str">
        <f t="shared" si="39"/>
        <v/>
      </c>
      <c r="E233" s="69"/>
      <c r="F233" s="64" t="str">
        <f t="shared" si="42"/>
        <v/>
      </c>
      <c r="G233" s="102"/>
      <c r="H233" s="64" t="str">
        <f t="shared" si="40"/>
        <v/>
      </c>
      <c r="I233" s="64" t="str">
        <f t="shared" si="41"/>
        <v/>
      </c>
      <c r="J233" s="101"/>
      <c r="K233" s="101"/>
      <c r="L233" s="101"/>
      <c r="M233" s="68"/>
      <c r="O233" t="str">
        <f t="shared" si="35"/>
        <v/>
      </c>
      <c r="P233" t="str">
        <f t="shared" si="36"/>
        <v/>
      </c>
      <c r="Q233" t="str">
        <f t="shared" si="37"/>
        <v/>
      </c>
      <c r="R233" t="str">
        <f t="shared" si="38"/>
        <v/>
      </c>
      <c r="AB233" t="s">
        <v>1226</v>
      </c>
      <c r="AC233" t="s">
        <v>1227</v>
      </c>
      <c r="AD233" t="s">
        <v>1182</v>
      </c>
      <c r="AE233" t="s">
        <v>1183</v>
      </c>
      <c r="AF233" t="s">
        <v>651</v>
      </c>
      <c r="AG233" t="s">
        <v>1184</v>
      </c>
    </row>
    <row r="234" spans="1:33">
      <c r="A234" s="64" t="str">
        <f>IF(C234="","",VLOOKUP('OPĆI DIO'!$C$3,'OPĆI DIO'!$L$6:$U$138,10,FALSE))</f>
        <v/>
      </c>
      <c r="B234" s="64" t="str">
        <f>IF(C234="","",VLOOKUP('OPĆI DIO'!$C$3,'OPĆI DIO'!$L$6:$U$138,9,FALSE))</f>
        <v/>
      </c>
      <c r="C234" s="69"/>
      <c r="D234" s="64" t="str">
        <f t="shared" si="39"/>
        <v/>
      </c>
      <c r="E234" s="69"/>
      <c r="F234" s="64" t="str">
        <f t="shared" si="42"/>
        <v/>
      </c>
      <c r="G234" s="102"/>
      <c r="H234" s="64" t="str">
        <f t="shared" si="40"/>
        <v/>
      </c>
      <c r="I234" s="64" t="str">
        <f t="shared" si="41"/>
        <v/>
      </c>
      <c r="J234" s="101"/>
      <c r="K234" s="101"/>
      <c r="L234" s="101"/>
      <c r="M234" s="68"/>
      <c r="O234" t="str">
        <f t="shared" si="35"/>
        <v/>
      </c>
      <c r="P234" t="str">
        <f t="shared" si="36"/>
        <v/>
      </c>
      <c r="Q234" t="str">
        <f t="shared" si="37"/>
        <v/>
      </c>
      <c r="R234" t="str">
        <f t="shared" si="38"/>
        <v/>
      </c>
      <c r="AB234" t="s">
        <v>1228</v>
      </c>
      <c r="AC234" t="s">
        <v>1229</v>
      </c>
      <c r="AD234" t="s">
        <v>1182</v>
      </c>
      <c r="AE234" t="s">
        <v>1183</v>
      </c>
      <c r="AF234" t="s">
        <v>651</v>
      </c>
      <c r="AG234" t="s">
        <v>1184</v>
      </c>
    </row>
    <row r="235" spans="1:33">
      <c r="A235" s="64" t="str">
        <f>IF(C235="","",VLOOKUP('OPĆI DIO'!$C$3,'OPĆI DIO'!$L$6:$U$138,10,FALSE))</f>
        <v/>
      </c>
      <c r="B235" s="64" t="str">
        <f>IF(C235="","",VLOOKUP('OPĆI DIO'!$C$3,'OPĆI DIO'!$L$6:$U$138,9,FALSE))</f>
        <v/>
      </c>
      <c r="C235" s="69"/>
      <c r="D235" s="64" t="str">
        <f t="shared" si="39"/>
        <v/>
      </c>
      <c r="E235" s="69"/>
      <c r="F235" s="64" t="str">
        <f t="shared" si="42"/>
        <v/>
      </c>
      <c r="G235" s="102"/>
      <c r="H235" s="64" t="str">
        <f t="shared" si="40"/>
        <v/>
      </c>
      <c r="I235" s="64" t="str">
        <f t="shared" si="41"/>
        <v/>
      </c>
      <c r="J235" s="101"/>
      <c r="K235" s="101"/>
      <c r="L235" s="101"/>
      <c r="M235" s="68"/>
      <c r="O235" t="str">
        <f t="shared" si="35"/>
        <v/>
      </c>
      <c r="P235" t="str">
        <f t="shared" si="36"/>
        <v/>
      </c>
      <c r="Q235" t="str">
        <f t="shared" si="37"/>
        <v/>
      </c>
      <c r="R235" t="str">
        <f t="shared" si="38"/>
        <v/>
      </c>
      <c r="AB235" t="s">
        <v>1230</v>
      </c>
      <c r="AC235" t="s">
        <v>1231</v>
      </c>
      <c r="AD235" t="s">
        <v>657</v>
      </c>
      <c r="AE235" t="s">
        <v>658</v>
      </c>
      <c r="AF235" t="s">
        <v>644</v>
      </c>
      <c r="AG235" t="s">
        <v>659</v>
      </c>
    </row>
    <row r="236" spans="1:33">
      <c r="A236" s="64" t="str">
        <f>IF(C236="","",VLOOKUP('OPĆI DIO'!$C$3,'OPĆI DIO'!$L$6:$U$138,10,FALSE))</f>
        <v/>
      </c>
      <c r="B236" s="64" t="str">
        <f>IF(C236="","",VLOOKUP('OPĆI DIO'!$C$3,'OPĆI DIO'!$L$6:$U$138,9,FALSE))</f>
        <v/>
      </c>
      <c r="C236" s="69"/>
      <c r="D236" s="64" t="str">
        <f t="shared" si="39"/>
        <v/>
      </c>
      <c r="E236" s="69"/>
      <c r="F236" s="64" t="str">
        <f t="shared" si="42"/>
        <v/>
      </c>
      <c r="G236" s="102"/>
      <c r="H236" s="64" t="str">
        <f t="shared" si="40"/>
        <v/>
      </c>
      <c r="I236" s="64" t="str">
        <f t="shared" si="41"/>
        <v/>
      </c>
      <c r="J236" s="101"/>
      <c r="K236" s="101"/>
      <c r="L236" s="101"/>
      <c r="M236" s="68"/>
      <c r="O236" t="str">
        <f t="shared" si="35"/>
        <v/>
      </c>
      <c r="P236" t="str">
        <f t="shared" si="36"/>
        <v/>
      </c>
      <c r="Q236" t="str">
        <f t="shared" si="37"/>
        <v/>
      </c>
      <c r="R236" t="str">
        <f t="shared" si="38"/>
        <v/>
      </c>
      <c r="AB236" t="s">
        <v>1232</v>
      </c>
      <c r="AC236" t="s">
        <v>1233</v>
      </c>
      <c r="AD236" t="s">
        <v>657</v>
      </c>
      <c r="AE236" t="s">
        <v>658</v>
      </c>
      <c r="AF236" t="s">
        <v>644</v>
      </c>
      <c r="AG236" t="s">
        <v>659</v>
      </c>
    </row>
    <row r="237" spans="1:33">
      <c r="A237" s="64" t="str">
        <f>IF(C237="","",VLOOKUP('OPĆI DIO'!$C$3,'OPĆI DIO'!$L$6:$U$138,10,FALSE))</f>
        <v/>
      </c>
      <c r="B237" s="64" t="str">
        <f>IF(C237="","",VLOOKUP('OPĆI DIO'!$C$3,'OPĆI DIO'!$L$6:$U$138,9,FALSE))</f>
        <v/>
      </c>
      <c r="C237" s="69"/>
      <c r="D237" s="64" t="str">
        <f t="shared" si="39"/>
        <v/>
      </c>
      <c r="E237" s="69"/>
      <c r="F237" s="64" t="str">
        <f t="shared" si="42"/>
        <v/>
      </c>
      <c r="G237" s="102"/>
      <c r="H237" s="64" t="str">
        <f t="shared" si="40"/>
        <v/>
      </c>
      <c r="I237" s="64" t="str">
        <f t="shared" si="41"/>
        <v/>
      </c>
      <c r="J237" s="101"/>
      <c r="K237" s="101"/>
      <c r="L237" s="101"/>
      <c r="M237" s="68"/>
      <c r="O237" t="str">
        <f t="shared" si="35"/>
        <v/>
      </c>
      <c r="P237" t="str">
        <f t="shared" si="36"/>
        <v/>
      </c>
      <c r="Q237" t="str">
        <f t="shared" si="37"/>
        <v/>
      </c>
      <c r="R237" t="str">
        <f t="shared" si="38"/>
        <v/>
      </c>
      <c r="AB237" t="s">
        <v>1234</v>
      </c>
      <c r="AC237" t="s">
        <v>1235</v>
      </c>
      <c r="AD237" t="s">
        <v>657</v>
      </c>
      <c r="AE237" t="s">
        <v>658</v>
      </c>
      <c r="AF237" t="s">
        <v>644</v>
      </c>
      <c r="AG237" t="s">
        <v>659</v>
      </c>
    </row>
    <row r="238" spans="1:33">
      <c r="A238" s="64" t="str">
        <f>IF(C238="","",VLOOKUP('OPĆI DIO'!$C$3,'OPĆI DIO'!$L$6:$U$138,10,FALSE))</f>
        <v/>
      </c>
      <c r="B238" s="64" t="str">
        <f>IF(C238="","",VLOOKUP('OPĆI DIO'!$C$3,'OPĆI DIO'!$L$6:$U$138,9,FALSE))</f>
        <v/>
      </c>
      <c r="C238" s="69"/>
      <c r="D238" s="64" t="str">
        <f t="shared" si="39"/>
        <v/>
      </c>
      <c r="E238" s="69"/>
      <c r="F238" s="64" t="str">
        <f t="shared" si="42"/>
        <v/>
      </c>
      <c r="G238" s="102"/>
      <c r="H238" s="64" t="str">
        <f t="shared" si="40"/>
        <v/>
      </c>
      <c r="I238" s="64" t="str">
        <f t="shared" si="41"/>
        <v/>
      </c>
      <c r="J238" s="101"/>
      <c r="K238" s="101"/>
      <c r="L238" s="101"/>
      <c r="M238" s="68"/>
      <c r="O238" t="str">
        <f t="shared" si="35"/>
        <v/>
      </c>
      <c r="P238" t="str">
        <f t="shared" si="36"/>
        <v/>
      </c>
      <c r="Q238" t="str">
        <f t="shared" si="37"/>
        <v/>
      </c>
      <c r="R238" t="str">
        <f t="shared" si="38"/>
        <v/>
      </c>
      <c r="AB238" t="s">
        <v>1236</v>
      </c>
      <c r="AC238" t="s">
        <v>1237</v>
      </c>
      <c r="AD238" t="s">
        <v>657</v>
      </c>
      <c r="AE238" t="s">
        <v>658</v>
      </c>
      <c r="AF238" t="s">
        <v>644</v>
      </c>
      <c r="AG238" t="s">
        <v>659</v>
      </c>
    </row>
    <row r="239" spans="1:33">
      <c r="A239" s="64" t="str">
        <f>IF(C239="","",VLOOKUP('OPĆI DIO'!$C$3,'OPĆI DIO'!$L$6:$U$138,10,FALSE))</f>
        <v/>
      </c>
      <c r="B239" s="64" t="str">
        <f>IF(C239="","",VLOOKUP('OPĆI DIO'!$C$3,'OPĆI DIO'!$L$6:$U$138,9,FALSE))</f>
        <v/>
      </c>
      <c r="C239" s="69"/>
      <c r="D239" s="64" t="str">
        <f t="shared" si="39"/>
        <v/>
      </c>
      <c r="E239" s="69"/>
      <c r="F239" s="64" t="str">
        <f t="shared" si="42"/>
        <v/>
      </c>
      <c r="G239" s="102"/>
      <c r="H239" s="64" t="str">
        <f t="shared" si="40"/>
        <v/>
      </c>
      <c r="I239" s="64" t="str">
        <f t="shared" si="41"/>
        <v/>
      </c>
      <c r="J239" s="101"/>
      <c r="K239" s="101"/>
      <c r="L239" s="101"/>
      <c r="M239" s="68"/>
      <c r="O239" t="str">
        <f t="shared" si="35"/>
        <v/>
      </c>
      <c r="P239" t="str">
        <f t="shared" si="36"/>
        <v/>
      </c>
      <c r="Q239" t="str">
        <f t="shared" si="37"/>
        <v/>
      </c>
      <c r="R239" t="str">
        <f t="shared" si="38"/>
        <v/>
      </c>
      <c r="AB239" t="s">
        <v>1238</v>
      </c>
      <c r="AC239" t="s">
        <v>1239</v>
      </c>
      <c r="AD239" t="s">
        <v>657</v>
      </c>
      <c r="AE239" t="s">
        <v>658</v>
      </c>
      <c r="AF239" t="s">
        <v>644</v>
      </c>
      <c r="AG239" t="s">
        <v>659</v>
      </c>
    </row>
    <row r="240" spans="1:33">
      <c r="A240" s="64" t="str">
        <f>IF(C240="","",VLOOKUP('OPĆI DIO'!$C$3,'OPĆI DIO'!$L$6:$U$138,10,FALSE))</f>
        <v/>
      </c>
      <c r="B240" s="64" t="str">
        <f>IF(C240="","",VLOOKUP('OPĆI DIO'!$C$3,'OPĆI DIO'!$L$6:$U$138,9,FALSE))</f>
        <v/>
      </c>
      <c r="C240" s="69"/>
      <c r="D240" s="64" t="str">
        <f t="shared" si="39"/>
        <v/>
      </c>
      <c r="E240" s="69"/>
      <c r="F240" s="64" t="str">
        <f t="shared" si="42"/>
        <v/>
      </c>
      <c r="G240" s="102"/>
      <c r="H240" s="64" t="str">
        <f t="shared" si="40"/>
        <v/>
      </c>
      <c r="I240" s="64" t="str">
        <f t="shared" si="41"/>
        <v/>
      </c>
      <c r="J240" s="101"/>
      <c r="K240" s="101"/>
      <c r="L240" s="101"/>
      <c r="M240" s="68"/>
      <c r="O240" t="str">
        <f t="shared" si="35"/>
        <v/>
      </c>
      <c r="P240" t="str">
        <f t="shared" si="36"/>
        <v/>
      </c>
      <c r="Q240" t="str">
        <f t="shared" si="37"/>
        <v/>
      </c>
      <c r="R240" t="str">
        <f t="shared" si="38"/>
        <v/>
      </c>
      <c r="AB240" t="s">
        <v>1240</v>
      </c>
      <c r="AC240" t="s">
        <v>1241</v>
      </c>
      <c r="AD240" t="s">
        <v>657</v>
      </c>
      <c r="AE240" t="s">
        <v>658</v>
      </c>
      <c r="AF240" t="s">
        <v>644</v>
      </c>
      <c r="AG240" t="s">
        <v>659</v>
      </c>
    </row>
    <row r="241" spans="1:33">
      <c r="A241" s="64" t="str">
        <f>IF(C241="","",VLOOKUP('OPĆI DIO'!$C$3,'OPĆI DIO'!$L$6:$U$138,10,FALSE))</f>
        <v/>
      </c>
      <c r="B241" s="64" t="str">
        <f>IF(C241="","",VLOOKUP('OPĆI DIO'!$C$3,'OPĆI DIO'!$L$6:$U$138,9,FALSE))</f>
        <v/>
      </c>
      <c r="C241" s="69"/>
      <c r="D241" s="64" t="str">
        <f t="shared" si="39"/>
        <v/>
      </c>
      <c r="E241" s="69"/>
      <c r="F241" s="64" t="str">
        <f t="shared" si="42"/>
        <v/>
      </c>
      <c r="G241" s="102"/>
      <c r="H241" s="64" t="str">
        <f t="shared" si="40"/>
        <v/>
      </c>
      <c r="I241" s="64" t="str">
        <f t="shared" si="41"/>
        <v/>
      </c>
      <c r="J241" s="101"/>
      <c r="K241" s="101"/>
      <c r="L241" s="101"/>
      <c r="M241" s="68"/>
      <c r="O241" t="str">
        <f t="shared" si="35"/>
        <v/>
      </c>
      <c r="P241" t="str">
        <f t="shared" si="36"/>
        <v/>
      </c>
      <c r="Q241" t="str">
        <f t="shared" si="37"/>
        <v/>
      </c>
      <c r="R241" t="str">
        <f t="shared" si="38"/>
        <v/>
      </c>
      <c r="AB241" t="s">
        <v>1242</v>
      </c>
      <c r="AC241" t="s">
        <v>1243</v>
      </c>
      <c r="AD241" t="s">
        <v>657</v>
      </c>
      <c r="AE241" t="s">
        <v>658</v>
      </c>
      <c r="AF241" t="s">
        <v>644</v>
      </c>
      <c r="AG241" t="s">
        <v>659</v>
      </c>
    </row>
    <row r="242" spans="1:33">
      <c r="A242" s="64" t="str">
        <f>IF(C242="","",VLOOKUP('OPĆI DIO'!$C$3,'OPĆI DIO'!$L$6:$U$138,10,FALSE))</f>
        <v/>
      </c>
      <c r="B242" s="64" t="str">
        <f>IF(C242="","",VLOOKUP('OPĆI DIO'!$C$3,'OPĆI DIO'!$L$6:$U$138,9,FALSE))</f>
        <v/>
      </c>
      <c r="C242" s="69"/>
      <c r="D242" s="64" t="str">
        <f t="shared" si="39"/>
        <v/>
      </c>
      <c r="E242" s="69"/>
      <c r="F242" s="64" t="str">
        <f t="shared" si="42"/>
        <v/>
      </c>
      <c r="G242" s="102"/>
      <c r="H242" s="64" t="str">
        <f t="shared" si="40"/>
        <v/>
      </c>
      <c r="I242" s="64" t="str">
        <f t="shared" si="41"/>
        <v/>
      </c>
      <c r="J242" s="101"/>
      <c r="K242" s="101"/>
      <c r="L242" s="101"/>
      <c r="M242" s="68"/>
      <c r="O242" t="str">
        <f t="shared" si="35"/>
        <v/>
      </c>
      <c r="P242" t="str">
        <f t="shared" si="36"/>
        <v/>
      </c>
      <c r="Q242" t="str">
        <f t="shared" si="37"/>
        <v/>
      </c>
      <c r="R242" t="str">
        <f t="shared" si="38"/>
        <v/>
      </c>
      <c r="AB242" t="s">
        <v>1244</v>
      </c>
      <c r="AC242" t="s">
        <v>1142</v>
      </c>
      <c r="AD242" t="s">
        <v>657</v>
      </c>
      <c r="AE242" t="s">
        <v>658</v>
      </c>
      <c r="AF242" t="s">
        <v>644</v>
      </c>
      <c r="AG242" t="s">
        <v>659</v>
      </c>
    </row>
    <row r="243" spans="1:33">
      <c r="A243" s="64" t="str">
        <f>IF(C243="","",VLOOKUP('OPĆI DIO'!$C$3,'OPĆI DIO'!$L$6:$U$138,10,FALSE))</f>
        <v/>
      </c>
      <c r="B243" s="64" t="str">
        <f>IF(C243="","",VLOOKUP('OPĆI DIO'!$C$3,'OPĆI DIO'!$L$6:$U$138,9,FALSE))</f>
        <v/>
      </c>
      <c r="C243" s="69"/>
      <c r="D243" s="64" t="str">
        <f t="shared" si="39"/>
        <v/>
      </c>
      <c r="E243" s="69"/>
      <c r="F243" s="64" t="str">
        <f t="shared" si="42"/>
        <v/>
      </c>
      <c r="G243" s="102"/>
      <c r="H243" s="64" t="str">
        <f t="shared" si="40"/>
        <v/>
      </c>
      <c r="I243" s="64" t="str">
        <f t="shared" si="41"/>
        <v/>
      </c>
      <c r="J243" s="101"/>
      <c r="K243" s="101"/>
      <c r="L243" s="101"/>
      <c r="M243" s="68"/>
      <c r="O243" t="str">
        <f t="shared" si="35"/>
        <v/>
      </c>
      <c r="P243" t="str">
        <f t="shared" si="36"/>
        <v/>
      </c>
      <c r="Q243" t="str">
        <f t="shared" si="37"/>
        <v/>
      </c>
      <c r="R243" t="str">
        <f t="shared" si="38"/>
        <v/>
      </c>
      <c r="AB243" t="s">
        <v>1245</v>
      </c>
      <c r="AC243" t="s">
        <v>1246</v>
      </c>
      <c r="AD243" t="s">
        <v>677</v>
      </c>
      <c r="AE243" t="s">
        <v>678</v>
      </c>
      <c r="AF243" t="s">
        <v>644</v>
      </c>
      <c r="AG243" t="s">
        <v>679</v>
      </c>
    </row>
    <row r="244" spans="1:33">
      <c r="A244" s="64" t="str">
        <f>IF(C244="","",VLOOKUP('OPĆI DIO'!$C$3,'OPĆI DIO'!$L$6:$U$138,10,FALSE))</f>
        <v/>
      </c>
      <c r="B244" s="64" t="str">
        <f>IF(C244="","",VLOOKUP('OPĆI DIO'!$C$3,'OPĆI DIO'!$L$6:$U$138,9,FALSE))</f>
        <v/>
      </c>
      <c r="C244" s="69"/>
      <c r="D244" s="64" t="str">
        <f t="shared" si="39"/>
        <v/>
      </c>
      <c r="E244" s="69"/>
      <c r="F244" s="64" t="str">
        <f t="shared" si="42"/>
        <v/>
      </c>
      <c r="G244" s="102"/>
      <c r="H244" s="64" t="str">
        <f t="shared" si="40"/>
        <v/>
      </c>
      <c r="I244" s="64" t="str">
        <f t="shared" si="41"/>
        <v/>
      </c>
      <c r="J244" s="101"/>
      <c r="K244" s="101"/>
      <c r="L244" s="101"/>
      <c r="M244" s="68"/>
      <c r="O244" t="str">
        <f t="shared" si="35"/>
        <v/>
      </c>
      <c r="P244" t="str">
        <f t="shared" si="36"/>
        <v/>
      </c>
      <c r="Q244" t="str">
        <f t="shared" si="37"/>
        <v/>
      </c>
      <c r="R244" t="str">
        <f t="shared" si="38"/>
        <v/>
      </c>
      <c r="AB244" t="s">
        <v>1247</v>
      </c>
      <c r="AC244" t="s">
        <v>1248</v>
      </c>
      <c r="AD244" t="s">
        <v>649</v>
      </c>
      <c r="AE244" t="s">
        <v>650</v>
      </c>
      <c r="AF244" t="s">
        <v>651</v>
      </c>
      <c r="AG244" t="s">
        <v>652</v>
      </c>
    </row>
    <row r="245" spans="1:33">
      <c r="A245" s="64" t="str">
        <f>IF(C245="","",VLOOKUP('OPĆI DIO'!$C$3,'OPĆI DIO'!$L$6:$U$138,10,FALSE))</f>
        <v/>
      </c>
      <c r="B245" s="64" t="str">
        <f>IF(C245="","",VLOOKUP('OPĆI DIO'!$C$3,'OPĆI DIO'!$L$6:$U$138,9,FALSE))</f>
        <v/>
      </c>
      <c r="C245" s="69"/>
      <c r="D245" s="64" t="str">
        <f t="shared" si="39"/>
        <v/>
      </c>
      <c r="E245" s="69"/>
      <c r="F245" s="64" t="str">
        <f t="shared" si="42"/>
        <v/>
      </c>
      <c r="G245" s="102"/>
      <c r="H245" s="64" t="str">
        <f t="shared" si="40"/>
        <v/>
      </c>
      <c r="I245" s="64" t="str">
        <f t="shared" si="41"/>
        <v/>
      </c>
      <c r="J245" s="101"/>
      <c r="K245" s="101"/>
      <c r="L245" s="101"/>
      <c r="M245" s="68"/>
      <c r="O245" t="str">
        <f t="shared" si="35"/>
        <v/>
      </c>
      <c r="P245" t="str">
        <f t="shared" si="36"/>
        <v/>
      </c>
      <c r="Q245" t="str">
        <f t="shared" si="37"/>
        <v/>
      </c>
      <c r="R245" t="str">
        <f t="shared" si="38"/>
        <v/>
      </c>
      <c r="AB245" t="s">
        <v>1247</v>
      </c>
      <c r="AC245" t="s">
        <v>1248</v>
      </c>
      <c r="AD245" t="s">
        <v>677</v>
      </c>
      <c r="AE245" t="s">
        <v>678</v>
      </c>
      <c r="AF245" t="s">
        <v>644</v>
      </c>
      <c r="AG245" t="s">
        <v>679</v>
      </c>
    </row>
    <row r="246" spans="1:33">
      <c r="A246" s="64" t="str">
        <f>IF(C246="","",VLOOKUP('OPĆI DIO'!$C$3,'OPĆI DIO'!$L$6:$U$138,10,FALSE))</f>
        <v/>
      </c>
      <c r="B246" s="64" t="str">
        <f>IF(C246="","",VLOOKUP('OPĆI DIO'!$C$3,'OPĆI DIO'!$L$6:$U$138,9,FALSE))</f>
        <v/>
      </c>
      <c r="C246" s="69"/>
      <c r="D246" s="64" t="str">
        <f t="shared" si="39"/>
        <v/>
      </c>
      <c r="E246" s="69"/>
      <c r="F246" s="64" t="str">
        <f t="shared" si="42"/>
        <v/>
      </c>
      <c r="G246" s="102"/>
      <c r="H246" s="64" t="str">
        <f t="shared" si="40"/>
        <v/>
      </c>
      <c r="I246" s="64" t="str">
        <f t="shared" si="41"/>
        <v/>
      </c>
      <c r="J246" s="101"/>
      <c r="K246" s="101"/>
      <c r="L246" s="101"/>
      <c r="M246" s="68"/>
      <c r="O246" t="str">
        <f t="shared" si="35"/>
        <v/>
      </c>
      <c r="P246" t="str">
        <f t="shared" si="36"/>
        <v/>
      </c>
      <c r="Q246" t="str">
        <f t="shared" si="37"/>
        <v/>
      </c>
      <c r="R246" t="str">
        <f t="shared" si="38"/>
        <v/>
      </c>
      <c r="AB246" t="s">
        <v>1249</v>
      </c>
      <c r="AC246" t="s">
        <v>1250</v>
      </c>
      <c r="AD246" t="s">
        <v>677</v>
      </c>
      <c r="AE246" t="s">
        <v>678</v>
      </c>
      <c r="AF246" t="s">
        <v>644</v>
      </c>
      <c r="AG246" t="s">
        <v>679</v>
      </c>
    </row>
    <row r="247" spans="1:33">
      <c r="A247" s="64" t="str">
        <f>IF(C247="","",VLOOKUP('OPĆI DIO'!$C$3,'OPĆI DIO'!$L$6:$U$138,10,FALSE))</f>
        <v/>
      </c>
      <c r="B247" s="64" t="str">
        <f>IF(C247="","",VLOOKUP('OPĆI DIO'!$C$3,'OPĆI DIO'!$L$6:$U$138,9,FALSE))</f>
        <v/>
      </c>
      <c r="C247" s="69"/>
      <c r="D247" s="64" t="str">
        <f t="shared" si="39"/>
        <v/>
      </c>
      <c r="E247" s="69"/>
      <c r="F247" s="64" t="str">
        <f t="shared" si="42"/>
        <v/>
      </c>
      <c r="G247" s="102"/>
      <c r="H247" s="64" t="str">
        <f t="shared" si="40"/>
        <v/>
      </c>
      <c r="I247" s="64" t="str">
        <f t="shared" si="41"/>
        <v/>
      </c>
      <c r="J247" s="101"/>
      <c r="K247" s="101"/>
      <c r="L247" s="101"/>
      <c r="M247" s="68"/>
      <c r="O247" t="str">
        <f t="shared" si="35"/>
        <v/>
      </c>
      <c r="P247" t="str">
        <f t="shared" si="36"/>
        <v/>
      </c>
      <c r="Q247" t="str">
        <f t="shared" si="37"/>
        <v/>
      </c>
      <c r="R247" t="str">
        <f t="shared" si="38"/>
        <v/>
      </c>
      <c r="AB247" t="s">
        <v>1251</v>
      </c>
      <c r="AC247" t="s">
        <v>1252</v>
      </c>
      <c r="AD247" t="s">
        <v>677</v>
      </c>
      <c r="AE247" t="s">
        <v>678</v>
      </c>
      <c r="AF247" t="s">
        <v>644</v>
      </c>
      <c r="AG247" t="s">
        <v>679</v>
      </c>
    </row>
    <row r="248" spans="1:33">
      <c r="A248" s="64" t="str">
        <f>IF(C248="","",VLOOKUP('OPĆI DIO'!$C$3,'OPĆI DIO'!$L$6:$U$138,10,FALSE))</f>
        <v/>
      </c>
      <c r="B248" s="64" t="str">
        <f>IF(C248="","",VLOOKUP('OPĆI DIO'!$C$3,'OPĆI DIO'!$L$6:$U$138,9,FALSE))</f>
        <v/>
      </c>
      <c r="C248" s="69"/>
      <c r="D248" s="64" t="str">
        <f t="shared" si="39"/>
        <v/>
      </c>
      <c r="E248" s="69"/>
      <c r="F248" s="64" t="str">
        <f t="shared" si="42"/>
        <v/>
      </c>
      <c r="G248" s="102"/>
      <c r="H248" s="64" t="str">
        <f t="shared" si="40"/>
        <v/>
      </c>
      <c r="I248" s="64" t="str">
        <f t="shared" si="41"/>
        <v/>
      </c>
      <c r="J248" s="101"/>
      <c r="K248" s="101"/>
      <c r="L248" s="101"/>
      <c r="M248" s="68"/>
      <c r="O248" t="str">
        <f t="shared" si="35"/>
        <v/>
      </c>
      <c r="P248" t="str">
        <f t="shared" si="36"/>
        <v/>
      </c>
      <c r="Q248" t="str">
        <f t="shared" si="37"/>
        <v/>
      </c>
      <c r="R248" t="str">
        <f t="shared" si="38"/>
        <v/>
      </c>
      <c r="AB248" t="s">
        <v>1253</v>
      </c>
      <c r="AC248" t="s">
        <v>1254</v>
      </c>
      <c r="AD248" t="s">
        <v>677</v>
      </c>
      <c r="AE248" t="s">
        <v>678</v>
      </c>
      <c r="AF248" t="s">
        <v>644</v>
      </c>
      <c r="AG248" t="s">
        <v>679</v>
      </c>
    </row>
    <row r="249" spans="1:33">
      <c r="A249" s="64" t="str">
        <f>IF(C249="","",VLOOKUP('OPĆI DIO'!$C$3,'OPĆI DIO'!$L$6:$U$138,10,FALSE))</f>
        <v/>
      </c>
      <c r="B249" s="64" t="str">
        <f>IF(C249="","",VLOOKUP('OPĆI DIO'!$C$3,'OPĆI DIO'!$L$6:$U$138,9,FALSE))</f>
        <v/>
      </c>
      <c r="C249" s="69"/>
      <c r="D249" s="64" t="str">
        <f t="shared" si="39"/>
        <v/>
      </c>
      <c r="E249" s="69"/>
      <c r="F249" s="64" t="str">
        <f t="shared" si="42"/>
        <v/>
      </c>
      <c r="G249" s="102"/>
      <c r="H249" s="64" t="str">
        <f t="shared" si="40"/>
        <v/>
      </c>
      <c r="I249" s="64" t="str">
        <f t="shared" si="41"/>
        <v/>
      </c>
      <c r="J249" s="101"/>
      <c r="K249" s="101"/>
      <c r="L249" s="101"/>
      <c r="M249" s="68"/>
      <c r="O249" t="str">
        <f t="shared" si="35"/>
        <v/>
      </c>
      <c r="P249" t="str">
        <f t="shared" si="36"/>
        <v/>
      </c>
      <c r="Q249" t="str">
        <f t="shared" si="37"/>
        <v/>
      </c>
      <c r="R249" t="str">
        <f t="shared" si="38"/>
        <v/>
      </c>
      <c r="AB249" t="s">
        <v>1255</v>
      </c>
      <c r="AC249" t="s">
        <v>1256</v>
      </c>
      <c r="AD249" t="s">
        <v>677</v>
      </c>
      <c r="AE249" t="s">
        <v>678</v>
      </c>
      <c r="AF249" t="s">
        <v>644</v>
      </c>
      <c r="AG249" t="s">
        <v>679</v>
      </c>
    </row>
    <row r="250" spans="1:33">
      <c r="A250" s="64" t="str">
        <f>IF(C250="","",VLOOKUP('OPĆI DIO'!$C$3,'OPĆI DIO'!$L$6:$U$138,10,FALSE))</f>
        <v/>
      </c>
      <c r="B250" s="64" t="str">
        <f>IF(C250="","",VLOOKUP('OPĆI DIO'!$C$3,'OPĆI DIO'!$L$6:$U$138,9,FALSE))</f>
        <v/>
      </c>
      <c r="C250" s="69"/>
      <c r="D250" s="64" t="str">
        <f t="shared" si="39"/>
        <v/>
      </c>
      <c r="E250" s="69"/>
      <c r="F250" s="64" t="str">
        <f t="shared" si="42"/>
        <v/>
      </c>
      <c r="G250" s="102"/>
      <c r="H250" s="64" t="str">
        <f t="shared" si="40"/>
        <v/>
      </c>
      <c r="I250" s="64" t="str">
        <f t="shared" si="41"/>
        <v/>
      </c>
      <c r="J250" s="101"/>
      <c r="K250" s="101"/>
      <c r="L250" s="101"/>
      <c r="M250" s="68"/>
      <c r="O250" t="str">
        <f t="shared" si="35"/>
        <v/>
      </c>
      <c r="P250" t="str">
        <f t="shared" si="36"/>
        <v/>
      </c>
      <c r="Q250" t="str">
        <f t="shared" si="37"/>
        <v/>
      </c>
      <c r="R250" t="str">
        <f t="shared" si="38"/>
        <v/>
      </c>
      <c r="AB250" t="s">
        <v>1257</v>
      </c>
      <c r="AC250" t="s">
        <v>1258</v>
      </c>
      <c r="AD250" t="s">
        <v>677</v>
      </c>
      <c r="AE250" t="s">
        <v>678</v>
      </c>
      <c r="AF250" t="s">
        <v>644</v>
      </c>
      <c r="AG250" t="s">
        <v>679</v>
      </c>
    </row>
    <row r="251" spans="1:33">
      <c r="A251" s="64" t="str">
        <f>IF(C251="","",VLOOKUP('OPĆI DIO'!$C$3,'OPĆI DIO'!$L$6:$U$138,10,FALSE))</f>
        <v/>
      </c>
      <c r="B251" s="64" t="str">
        <f>IF(C251="","",VLOOKUP('OPĆI DIO'!$C$3,'OPĆI DIO'!$L$6:$U$138,9,FALSE))</f>
        <v/>
      </c>
      <c r="C251" s="69"/>
      <c r="D251" s="64" t="str">
        <f t="shared" si="39"/>
        <v/>
      </c>
      <c r="E251" s="69"/>
      <c r="F251" s="64" t="str">
        <f t="shared" si="42"/>
        <v/>
      </c>
      <c r="G251" s="102"/>
      <c r="H251" s="64" t="str">
        <f t="shared" si="40"/>
        <v/>
      </c>
      <c r="I251" s="64" t="str">
        <f t="shared" si="41"/>
        <v/>
      </c>
      <c r="J251" s="101"/>
      <c r="K251" s="101"/>
      <c r="L251" s="101"/>
      <c r="M251" s="68"/>
      <c r="O251" t="str">
        <f t="shared" si="35"/>
        <v/>
      </c>
      <c r="P251" t="str">
        <f t="shared" si="36"/>
        <v/>
      </c>
      <c r="Q251" t="str">
        <f t="shared" si="37"/>
        <v/>
      </c>
      <c r="R251" t="str">
        <f t="shared" si="38"/>
        <v/>
      </c>
      <c r="AB251" t="s">
        <v>1259</v>
      </c>
      <c r="AC251" t="s">
        <v>1260</v>
      </c>
      <c r="AD251" t="s">
        <v>677</v>
      </c>
      <c r="AE251" t="s">
        <v>678</v>
      </c>
      <c r="AF251" t="s">
        <v>644</v>
      </c>
      <c r="AG251" t="s">
        <v>679</v>
      </c>
    </row>
    <row r="252" spans="1:33">
      <c r="A252" s="64" t="str">
        <f>IF(C252="","",VLOOKUP('OPĆI DIO'!$C$3,'OPĆI DIO'!$L$6:$U$138,10,FALSE))</f>
        <v/>
      </c>
      <c r="B252" s="64" t="str">
        <f>IF(C252="","",VLOOKUP('OPĆI DIO'!$C$3,'OPĆI DIO'!$L$6:$U$138,9,FALSE))</f>
        <v/>
      </c>
      <c r="C252" s="69"/>
      <c r="D252" s="64" t="str">
        <f t="shared" si="39"/>
        <v/>
      </c>
      <c r="E252" s="69"/>
      <c r="F252" s="64" t="str">
        <f t="shared" si="42"/>
        <v/>
      </c>
      <c r="G252" s="102"/>
      <c r="H252" s="64" t="str">
        <f t="shared" si="40"/>
        <v/>
      </c>
      <c r="I252" s="64" t="str">
        <f t="shared" si="41"/>
        <v/>
      </c>
      <c r="J252" s="101"/>
      <c r="K252" s="101"/>
      <c r="L252" s="101"/>
      <c r="M252" s="68"/>
      <c r="O252" t="str">
        <f t="shared" si="35"/>
        <v/>
      </c>
      <c r="P252" t="str">
        <f t="shared" si="36"/>
        <v/>
      </c>
      <c r="Q252" t="str">
        <f t="shared" si="37"/>
        <v/>
      </c>
      <c r="R252" t="str">
        <f t="shared" si="38"/>
        <v/>
      </c>
      <c r="AB252" t="s">
        <v>1261</v>
      </c>
      <c r="AC252" t="s">
        <v>1262</v>
      </c>
      <c r="AD252" t="s">
        <v>677</v>
      </c>
      <c r="AE252" t="s">
        <v>678</v>
      </c>
      <c r="AF252" t="s">
        <v>644</v>
      </c>
      <c r="AG252" t="s">
        <v>679</v>
      </c>
    </row>
    <row r="253" spans="1:33">
      <c r="A253" s="64" t="str">
        <f>IF(C253="","",VLOOKUP('OPĆI DIO'!$C$3,'OPĆI DIO'!$L$6:$U$138,10,FALSE))</f>
        <v/>
      </c>
      <c r="B253" s="64" t="str">
        <f>IF(C253="","",VLOOKUP('OPĆI DIO'!$C$3,'OPĆI DIO'!$L$6:$U$138,9,FALSE))</f>
        <v/>
      </c>
      <c r="C253" s="69"/>
      <c r="D253" s="64" t="str">
        <f t="shared" si="39"/>
        <v/>
      </c>
      <c r="E253" s="69"/>
      <c r="F253" s="64" t="str">
        <f t="shared" si="42"/>
        <v/>
      </c>
      <c r="G253" s="102"/>
      <c r="H253" s="64" t="str">
        <f t="shared" si="40"/>
        <v/>
      </c>
      <c r="I253" s="64" t="str">
        <f t="shared" si="41"/>
        <v/>
      </c>
      <c r="J253" s="101"/>
      <c r="K253" s="101"/>
      <c r="L253" s="101"/>
      <c r="M253" s="68"/>
      <c r="O253" t="str">
        <f t="shared" si="35"/>
        <v/>
      </c>
      <c r="P253" t="str">
        <f t="shared" si="36"/>
        <v/>
      </c>
      <c r="Q253" t="str">
        <f t="shared" si="37"/>
        <v/>
      </c>
      <c r="R253" t="str">
        <f t="shared" si="38"/>
        <v/>
      </c>
      <c r="AB253" t="s">
        <v>1263</v>
      </c>
      <c r="AC253" t="s">
        <v>1264</v>
      </c>
      <c r="AD253" t="s">
        <v>677</v>
      </c>
      <c r="AE253" t="s">
        <v>678</v>
      </c>
      <c r="AF253" t="s">
        <v>644</v>
      </c>
      <c r="AG253" t="s">
        <v>679</v>
      </c>
    </row>
    <row r="254" spans="1:33">
      <c r="A254" s="64" t="str">
        <f>IF(C254="","",VLOOKUP('OPĆI DIO'!$C$3,'OPĆI DIO'!$L$6:$U$138,10,FALSE))</f>
        <v/>
      </c>
      <c r="B254" s="64" t="str">
        <f>IF(C254="","",VLOOKUP('OPĆI DIO'!$C$3,'OPĆI DIO'!$L$6:$U$138,9,FALSE))</f>
        <v/>
      </c>
      <c r="C254" s="69"/>
      <c r="D254" s="64" t="str">
        <f t="shared" si="39"/>
        <v/>
      </c>
      <c r="E254" s="69"/>
      <c r="F254" s="64" t="str">
        <f t="shared" si="42"/>
        <v/>
      </c>
      <c r="G254" s="102"/>
      <c r="H254" s="64" t="str">
        <f t="shared" si="40"/>
        <v/>
      </c>
      <c r="I254" s="64" t="str">
        <f t="shared" si="41"/>
        <v/>
      </c>
      <c r="J254" s="101"/>
      <c r="K254" s="101"/>
      <c r="L254" s="101"/>
      <c r="M254" s="68"/>
      <c r="O254" t="str">
        <f t="shared" si="35"/>
        <v/>
      </c>
      <c r="P254" t="str">
        <f t="shared" si="36"/>
        <v/>
      </c>
      <c r="Q254" t="str">
        <f t="shared" si="37"/>
        <v/>
      </c>
      <c r="R254" t="str">
        <f t="shared" si="38"/>
        <v/>
      </c>
      <c r="AB254" t="s">
        <v>1265</v>
      </c>
      <c r="AC254" t="s">
        <v>1266</v>
      </c>
      <c r="AD254" t="s">
        <v>677</v>
      </c>
      <c r="AE254" t="s">
        <v>678</v>
      </c>
      <c r="AF254" t="s">
        <v>644</v>
      </c>
      <c r="AG254" t="s">
        <v>679</v>
      </c>
    </row>
    <row r="255" spans="1:33">
      <c r="A255" s="64" t="str">
        <f>IF(C255="","",VLOOKUP('OPĆI DIO'!$C$3,'OPĆI DIO'!$L$6:$U$138,10,FALSE))</f>
        <v/>
      </c>
      <c r="B255" s="64" t="str">
        <f>IF(C255="","",VLOOKUP('OPĆI DIO'!$C$3,'OPĆI DIO'!$L$6:$U$138,9,FALSE))</f>
        <v/>
      </c>
      <c r="C255" s="69"/>
      <c r="D255" s="64" t="str">
        <f t="shared" si="39"/>
        <v/>
      </c>
      <c r="E255" s="69"/>
      <c r="F255" s="64" t="str">
        <f t="shared" si="42"/>
        <v/>
      </c>
      <c r="G255" s="102"/>
      <c r="H255" s="64" t="str">
        <f t="shared" si="40"/>
        <v/>
      </c>
      <c r="I255" s="64" t="str">
        <f t="shared" si="41"/>
        <v/>
      </c>
      <c r="J255" s="101"/>
      <c r="K255" s="101"/>
      <c r="L255" s="101"/>
      <c r="M255" s="68"/>
      <c r="O255" t="str">
        <f t="shared" si="35"/>
        <v/>
      </c>
      <c r="P255" t="str">
        <f t="shared" si="36"/>
        <v/>
      </c>
      <c r="Q255" t="str">
        <f t="shared" si="37"/>
        <v/>
      </c>
      <c r="R255" t="str">
        <f t="shared" si="38"/>
        <v/>
      </c>
      <c r="AB255" t="s">
        <v>1267</v>
      </c>
      <c r="AC255" t="s">
        <v>1268</v>
      </c>
      <c r="AD255" t="s">
        <v>677</v>
      </c>
      <c r="AE255" t="s">
        <v>678</v>
      </c>
      <c r="AF255" t="s">
        <v>644</v>
      </c>
      <c r="AG255" t="s">
        <v>679</v>
      </c>
    </row>
    <row r="256" spans="1:33">
      <c r="A256" s="64" t="str">
        <f>IF(C256="","",VLOOKUP('OPĆI DIO'!$C$3,'OPĆI DIO'!$L$6:$U$138,10,FALSE))</f>
        <v/>
      </c>
      <c r="B256" s="64" t="str">
        <f>IF(C256="","",VLOOKUP('OPĆI DIO'!$C$3,'OPĆI DIO'!$L$6:$U$138,9,FALSE))</f>
        <v/>
      </c>
      <c r="C256" s="69"/>
      <c r="D256" s="64" t="str">
        <f t="shared" si="39"/>
        <v/>
      </c>
      <c r="E256" s="69"/>
      <c r="F256" s="64" t="str">
        <f t="shared" si="42"/>
        <v/>
      </c>
      <c r="G256" s="102"/>
      <c r="H256" s="64" t="str">
        <f t="shared" si="40"/>
        <v/>
      </c>
      <c r="I256" s="64" t="str">
        <f t="shared" si="41"/>
        <v/>
      </c>
      <c r="J256" s="101"/>
      <c r="K256" s="101"/>
      <c r="L256" s="101"/>
      <c r="M256" s="68"/>
      <c r="O256" t="str">
        <f t="shared" si="35"/>
        <v/>
      </c>
      <c r="P256" t="str">
        <f t="shared" si="36"/>
        <v/>
      </c>
      <c r="Q256" t="str">
        <f t="shared" si="37"/>
        <v/>
      </c>
      <c r="R256" t="str">
        <f t="shared" si="38"/>
        <v/>
      </c>
      <c r="AB256" t="s">
        <v>1269</v>
      </c>
      <c r="AC256" t="s">
        <v>1270</v>
      </c>
      <c r="AD256" t="s">
        <v>677</v>
      </c>
      <c r="AE256" t="s">
        <v>678</v>
      </c>
      <c r="AF256" t="s">
        <v>644</v>
      </c>
      <c r="AG256" t="s">
        <v>679</v>
      </c>
    </row>
    <row r="257" spans="1:33">
      <c r="A257" s="64" t="str">
        <f>IF(C257="","",VLOOKUP('OPĆI DIO'!$C$3,'OPĆI DIO'!$L$6:$U$138,10,FALSE))</f>
        <v/>
      </c>
      <c r="B257" s="64" t="str">
        <f>IF(C257="","",VLOOKUP('OPĆI DIO'!$C$3,'OPĆI DIO'!$L$6:$U$138,9,FALSE))</f>
        <v/>
      </c>
      <c r="C257" s="69"/>
      <c r="D257" s="64" t="str">
        <f t="shared" si="39"/>
        <v/>
      </c>
      <c r="E257" s="69"/>
      <c r="F257" s="64" t="str">
        <f t="shared" si="42"/>
        <v/>
      </c>
      <c r="G257" s="102"/>
      <c r="H257" s="64" t="str">
        <f t="shared" si="40"/>
        <v/>
      </c>
      <c r="I257" s="64" t="str">
        <f t="shared" si="41"/>
        <v/>
      </c>
      <c r="J257" s="101"/>
      <c r="K257" s="101"/>
      <c r="L257" s="101"/>
      <c r="M257" s="68"/>
      <c r="O257" t="str">
        <f t="shared" ref="O257:O320" si="43">LEFT(E257,3)</f>
        <v/>
      </c>
      <c r="P257" t="str">
        <f t="shared" ref="P257:P320" si="44">LEFT(E257,2)</f>
        <v/>
      </c>
      <c r="Q257" t="str">
        <f t="shared" ref="Q257:Q320" si="45">LEFT(C257,3)</f>
        <v/>
      </c>
      <c r="R257" t="str">
        <f t="shared" ref="R257:R320" si="46">MID(I257,2,2)</f>
        <v/>
      </c>
      <c r="AB257" t="s">
        <v>1271</v>
      </c>
      <c r="AC257" t="s">
        <v>1272</v>
      </c>
      <c r="AD257" t="s">
        <v>677</v>
      </c>
      <c r="AE257" t="s">
        <v>678</v>
      </c>
      <c r="AF257" t="s">
        <v>644</v>
      </c>
      <c r="AG257" t="s">
        <v>679</v>
      </c>
    </row>
    <row r="258" spans="1:33">
      <c r="A258" s="64" t="str">
        <f>IF(C258="","",VLOOKUP('OPĆI DIO'!$C$3,'OPĆI DIO'!$L$6:$U$138,10,FALSE))</f>
        <v/>
      </c>
      <c r="B258" s="64" t="str">
        <f>IF(C258="","",VLOOKUP('OPĆI DIO'!$C$3,'OPĆI DIO'!$L$6:$U$138,9,FALSE))</f>
        <v/>
      </c>
      <c r="C258" s="69"/>
      <c r="D258" s="64" t="str">
        <f t="shared" si="39"/>
        <v/>
      </c>
      <c r="E258" s="69"/>
      <c r="F258" s="64" t="str">
        <f t="shared" si="42"/>
        <v/>
      </c>
      <c r="G258" s="102"/>
      <c r="H258" s="64" t="str">
        <f t="shared" si="40"/>
        <v/>
      </c>
      <c r="I258" s="64" t="str">
        <f t="shared" si="41"/>
        <v/>
      </c>
      <c r="J258" s="101"/>
      <c r="K258" s="101"/>
      <c r="L258" s="101"/>
      <c r="M258" s="68"/>
      <c r="O258" t="str">
        <f t="shared" si="43"/>
        <v/>
      </c>
      <c r="P258" t="str">
        <f t="shared" si="44"/>
        <v/>
      </c>
      <c r="Q258" t="str">
        <f t="shared" si="45"/>
        <v/>
      </c>
      <c r="R258" t="str">
        <f t="shared" si="46"/>
        <v/>
      </c>
      <c r="AB258" t="s">
        <v>1273</v>
      </c>
      <c r="AC258" t="s">
        <v>1274</v>
      </c>
      <c r="AD258" t="s">
        <v>677</v>
      </c>
      <c r="AE258" t="s">
        <v>678</v>
      </c>
      <c r="AF258" t="s">
        <v>644</v>
      </c>
      <c r="AG258" t="s">
        <v>679</v>
      </c>
    </row>
    <row r="259" spans="1:33">
      <c r="A259" s="64" t="str">
        <f>IF(C259="","",VLOOKUP('OPĆI DIO'!$C$3,'OPĆI DIO'!$L$6:$U$138,10,FALSE))</f>
        <v/>
      </c>
      <c r="B259" s="64" t="str">
        <f>IF(C259="","",VLOOKUP('OPĆI DIO'!$C$3,'OPĆI DIO'!$L$6:$U$138,9,FALSE))</f>
        <v/>
      </c>
      <c r="C259" s="69"/>
      <c r="D259" s="64" t="str">
        <f t="shared" ref="D259:D322" si="47">IFERROR(VLOOKUP(C259,$S$6:$T$24,2,FALSE),"")</f>
        <v/>
      </c>
      <c r="E259" s="69"/>
      <c r="F259" s="64" t="str">
        <f t="shared" si="42"/>
        <v/>
      </c>
      <c r="G259" s="102"/>
      <c r="H259" s="64" t="str">
        <f t="shared" ref="H259:H322" si="48">IFERROR(VLOOKUP(G259,$AB$6:$AC$324,2,FALSE),"")</f>
        <v/>
      </c>
      <c r="I259" s="64" t="str">
        <f t="shared" ref="I259:I322" si="49">IFERROR(VLOOKUP(G259,$AB$6:$AF$324,3,FALSE),"")</f>
        <v/>
      </c>
      <c r="J259" s="101"/>
      <c r="K259" s="101"/>
      <c r="L259" s="101"/>
      <c r="M259" s="68"/>
      <c r="O259" t="str">
        <f t="shared" si="43"/>
        <v/>
      </c>
      <c r="P259" t="str">
        <f t="shared" si="44"/>
        <v/>
      </c>
      <c r="Q259" t="str">
        <f t="shared" si="45"/>
        <v/>
      </c>
      <c r="R259" t="str">
        <f t="shared" si="46"/>
        <v/>
      </c>
      <c r="AB259" t="s">
        <v>1275</v>
      </c>
      <c r="AC259" t="s">
        <v>1276</v>
      </c>
      <c r="AD259" t="s">
        <v>677</v>
      </c>
      <c r="AE259" t="s">
        <v>678</v>
      </c>
      <c r="AF259" t="s">
        <v>644</v>
      </c>
      <c r="AG259" t="s">
        <v>679</v>
      </c>
    </row>
    <row r="260" spans="1:33">
      <c r="A260" s="64" t="str">
        <f>IF(C260="","",VLOOKUP('OPĆI DIO'!$C$3,'OPĆI DIO'!$L$6:$U$138,10,FALSE))</f>
        <v/>
      </c>
      <c r="B260" s="64" t="str">
        <f>IF(C260="","",VLOOKUP('OPĆI DIO'!$C$3,'OPĆI DIO'!$L$6:$U$138,9,FALSE))</f>
        <v/>
      </c>
      <c r="C260" s="69"/>
      <c r="D260" s="64" t="str">
        <f t="shared" si="47"/>
        <v/>
      </c>
      <c r="E260" s="69"/>
      <c r="F260" s="64" t="str">
        <f t="shared" si="42"/>
        <v/>
      </c>
      <c r="G260" s="102"/>
      <c r="H260" s="64" t="str">
        <f t="shared" si="48"/>
        <v/>
      </c>
      <c r="I260" s="64" t="str">
        <f t="shared" si="49"/>
        <v/>
      </c>
      <c r="J260" s="101"/>
      <c r="K260" s="101"/>
      <c r="L260" s="101"/>
      <c r="M260" s="68"/>
      <c r="O260" t="str">
        <f t="shared" si="43"/>
        <v/>
      </c>
      <c r="P260" t="str">
        <f t="shared" si="44"/>
        <v/>
      </c>
      <c r="Q260" t="str">
        <f t="shared" si="45"/>
        <v/>
      </c>
      <c r="R260" t="str">
        <f t="shared" si="46"/>
        <v/>
      </c>
      <c r="AB260" t="s">
        <v>1277</v>
      </c>
      <c r="AC260" t="s">
        <v>1278</v>
      </c>
      <c r="AD260" t="s">
        <v>677</v>
      </c>
      <c r="AE260" t="s">
        <v>678</v>
      </c>
      <c r="AF260" t="s">
        <v>644</v>
      </c>
      <c r="AG260" t="s">
        <v>679</v>
      </c>
    </row>
    <row r="261" spans="1:33">
      <c r="A261" s="64" t="str">
        <f>IF(C261="","",VLOOKUP('OPĆI DIO'!$C$3,'OPĆI DIO'!$L$6:$U$138,10,FALSE))</f>
        <v/>
      </c>
      <c r="B261" s="64" t="str">
        <f>IF(C261="","",VLOOKUP('OPĆI DIO'!$C$3,'OPĆI DIO'!$L$6:$U$138,9,FALSE))</f>
        <v/>
      </c>
      <c r="C261" s="69"/>
      <c r="D261" s="64" t="str">
        <f t="shared" si="47"/>
        <v/>
      </c>
      <c r="E261" s="69"/>
      <c r="F261" s="64" t="str">
        <f t="shared" si="42"/>
        <v/>
      </c>
      <c r="G261" s="102"/>
      <c r="H261" s="64" t="str">
        <f t="shared" si="48"/>
        <v/>
      </c>
      <c r="I261" s="64" t="str">
        <f t="shared" si="49"/>
        <v/>
      </c>
      <c r="J261" s="101"/>
      <c r="K261" s="101"/>
      <c r="L261" s="101"/>
      <c r="M261" s="68"/>
      <c r="O261" t="str">
        <f t="shared" si="43"/>
        <v/>
      </c>
      <c r="P261" t="str">
        <f t="shared" si="44"/>
        <v/>
      </c>
      <c r="Q261" t="str">
        <f t="shared" si="45"/>
        <v/>
      </c>
      <c r="R261" t="str">
        <f t="shared" si="46"/>
        <v/>
      </c>
      <c r="AB261" t="s">
        <v>1279</v>
      </c>
      <c r="AC261" t="s">
        <v>1280</v>
      </c>
      <c r="AD261" t="s">
        <v>677</v>
      </c>
      <c r="AE261" t="s">
        <v>678</v>
      </c>
      <c r="AF261" t="s">
        <v>644</v>
      </c>
      <c r="AG261" t="s">
        <v>679</v>
      </c>
    </row>
    <row r="262" spans="1:33">
      <c r="A262" s="64" t="str">
        <f>IF(C262="","",VLOOKUP('OPĆI DIO'!$C$3,'OPĆI DIO'!$L$6:$U$138,10,FALSE))</f>
        <v/>
      </c>
      <c r="B262" s="64" t="str">
        <f>IF(C262="","",VLOOKUP('OPĆI DIO'!$C$3,'OPĆI DIO'!$L$6:$U$138,9,FALSE))</f>
        <v/>
      </c>
      <c r="C262" s="69"/>
      <c r="D262" s="64" t="str">
        <f t="shared" si="47"/>
        <v/>
      </c>
      <c r="E262" s="69"/>
      <c r="F262" s="64" t="str">
        <f t="shared" si="42"/>
        <v/>
      </c>
      <c r="G262" s="102"/>
      <c r="H262" s="64" t="str">
        <f t="shared" si="48"/>
        <v/>
      </c>
      <c r="I262" s="64" t="str">
        <f t="shared" si="49"/>
        <v/>
      </c>
      <c r="J262" s="101"/>
      <c r="K262" s="101"/>
      <c r="L262" s="101"/>
      <c r="M262" s="68"/>
      <c r="O262" t="str">
        <f t="shared" si="43"/>
        <v/>
      </c>
      <c r="P262" t="str">
        <f t="shared" si="44"/>
        <v/>
      </c>
      <c r="Q262" t="str">
        <f t="shared" si="45"/>
        <v/>
      </c>
      <c r="R262" t="str">
        <f t="shared" si="46"/>
        <v/>
      </c>
      <c r="AB262" t="s">
        <v>1281</v>
      </c>
      <c r="AC262" t="s">
        <v>1282</v>
      </c>
      <c r="AD262" t="s">
        <v>677</v>
      </c>
      <c r="AE262" t="s">
        <v>678</v>
      </c>
      <c r="AF262" t="s">
        <v>644</v>
      </c>
      <c r="AG262" t="s">
        <v>679</v>
      </c>
    </row>
    <row r="263" spans="1:33">
      <c r="A263" s="64" t="str">
        <f>IF(C263="","",VLOOKUP('OPĆI DIO'!$C$3,'OPĆI DIO'!$L$6:$U$138,10,FALSE))</f>
        <v/>
      </c>
      <c r="B263" s="64" t="str">
        <f>IF(C263="","",VLOOKUP('OPĆI DIO'!$C$3,'OPĆI DIO'!$L$6:$U$138,9,FALSE))</f>
        <v/>
      </c>
      <c r="C263" s="69"/>
      <c r="D263" s="64" t="str">
        <f t="shared" si="47"/>
        <v/>
      </c>
      <c r="E263" s="69"/>
      <c r="F263" s="64" t="str">
        <f t="shared" si="42"/>
        <v/>
      </c>
      <c r="G263" s="102"/>
      <c r="H263" s="64" t="str">
        <f t="shared" si="48"/>
        <v/>
      </c>
      <c r="I263" s="64" t="str">
        <f t="shared" si="49"/>
        <v/>
      </c>
      <c r="J263" s="101"/>
      <c r="K263" s="101"/>
      <c r="L263" s="101"/>
      <c r="M263" s="68"/>
      <c r="O263" t="str">
        <f t="shared" si="43"/>
        <v/>
      </c>
      <c r="P263" t="str">
        <f t="shared" si="44"/>
        <v/>
      </c>
      <c r="Q263" t="str">
        <f t="shared" si="45"/>
        <v/>
      </c>
      <c r="R263" t="str">
        <f t="shared" si="46"/>
        <v/>
      </c>
      <c r="AB263" t="s">
        <v>1283</v>
      </c>
      <c r="AC263" t="s">
        <v>1284</v>
      </c>
      <c r="AD263" t="s">
        <v>677</v>
      </c>
      <c r="AE263" t="s">
        <v>678</v>
      </c>
      <c r="AF263" t="s">
        <v>644</v>
      </c>
      <c r="AG263" t="s">
        <v>679</v>
      </c>
    </row>
    <row r="264" spans="1:33">
      <c r="A264" s="64" t="str">
        <f>IF(C264="","",VLOOKUP('OPĆI DIO'!$C$3,'OPĆI DIO'!$L$6:$U$138,10,FALSE))</f>
        <v/>
      </c>
      <c r="B264" s="64" t="str">
        <f>IF(C264="","",VLOOKUP('OPĆI DIO'!$C$3,'OPĆI DIO'!$L$6:$U$138,9,FALSE))</f>
        <v/>
      </c>
      <c r="C264" s="69"/>
      <c r="D264" s="64" t="str">
        <f t="shared" si="47"/>
        <v/>
      </c>
      <c r="E264" s="69"/>
      <c r="F264" s="64" t="str">
        <f t="shared" si="42"/>
        <v/>
      </c>
      <c r="G264" s="102"/>
      <c r="H264" s="64" t="str">
        <f t="shared" si="48"/>
        <v/>
      </c>
      <c r="I264" s="64" t="str">
        <f t="shared" si="49"/>
        <v/>
      </c>
      <c r="J264" s="101"/>
      <c r="K264" s="101"/>
      <c r="L264" s="101"/>
      <c r="M264" s="68"/>
      <c r="O264" t="str">
        <f t="shared" si="43"/>
        <v/>
      </c>
      <c r="P264" t="str">
        <f t="shared" si="44"/>
        <v/>
      </c>
      <c r="Q264" t="str">
        <f t="shared" si="45"/>
        <v/>
      </c>
      <c r="R264" t="str">
        <f t="shared" si="46"/>
        <v/>
      </c>
      <c r="AB264" t="s">
        <v>1285</v>
      </c>
      <c r="AC264" t="s">
        <v>1142</v>
      </c>
      <c r="AD264" t="s">
        <v>677</v>
      </c>
      <c r="AE264" t="s">
        <v>678</v>
      </c>
      <c r="AF264" t="s">
        <v>644</v>
      </c>
      <c r="AG264" t="s">
        <v>679</v>
      </c>
    </row>
    <row r="265" spans="1:33">
      <c r="A265" s="64" t="str">
        <f>IF(C265="","",VLOOKUP('OPĆI DIO'!$C$3,'OPĆI DIO'!$L$6:$U$138,10,FALSE))</f>
        <v/>
      </c>
      <c r="B265" s="64" t="str">
        <f>IF(C265="","",VLOOKUP('OPĆI DIO'!$C$3,'OPĆI DIO'!$L$6:$U$138,9,FALSE))</f>
        <v/>
      </c>
      <c r="C265" s="69"/>
      <c r="D265" s="64" t="str">
        <f t="shared" si="47"/>
        <v/>
      </c>
      <c r="E265" s="69"/>
      <c r="F265" s="64" t="str">
        <f t="shared" si="42"/>
        <v/>
      </c>
      <c r="G265" s="102"/>
      <c r="H265" s="64" t="str">
        <f t="shared" si="48"/>
        <v/>
      </c>
      <c r="I265" s="64" t="str">
        <f t="shared" si="49"/>
        <v/>
      </c>
      <c r="J265" s="101"/>
      <c r="K265" s="101"/>
      <c r="L265" s="101"/>
      <c r="M265" s="68"/>
      <c r="O265" t="str">
        <f t="shared" si="43"/>
        <v/>
      </c>
      <c r="P265" t="str">
        <f t="shared" si="44"/>
        <v/>
      </c>
      <c r="Q265" t="str">
        <f t="shared" si="45"/>
        <v/>
      </c>
      <c r="R265" t="str">
        <f t="shared" si="46"/>
        <v/>
      </c>
      <c r="AB265" t="s">
        <v>1286</v>
      </c>
      <c r="AC265" t="s">
        <v>1287</v>
      </c>
      <c r="AD265" t="s">
        <v>657</v>
      </c>
      <c r="AE265" t="s">
        <v>658</v>
      </c>
      <c r="AF265" t="s">
        <v>644</v>
      </c>
      <c r="AG265" t="s">
        <v>659</v>
      </c>
    </row>
    <row r="266" spans="1:33">
      <c r="A266" s="64" t="str">
        <f>IF(C266="","",VLOOKUP('OPĆI DIO'!$C$3,'OPĆI DIO'!$L$6:$U$138,10,FALSE))</f>
        <v/>
      </c>
      <c r="B266" s="64" t="str">
        <f>IF(C266="","",VLOOKUP('OPĆI DIO'!$C$3,'OPĆI DIO'!$L$6:$U$138,9,FALSE))</f>
        <v/>
      </c>
      <c r="C266" s="69"/>
      <c r="D266" s="64" t="str">
        <f t="shared" si="47"/>
        <v/>
      </c>
      <c r="E266" s="69"/>
      <c r="F266" s="64" t="str">
        <f t="shared" si="42"/>
        <v/>
      </c>
      <c r="G266" s="102"/>
      <c r="H266" s="64" t="str">
        <f t="shared" si="48"/>
        <v/>
      </c>
      <c r="I266" s="64" t="str">
        <f t="shared" si="49"/>
        <v/>
      </c>
      <c r="J266" s="101"/>
      <c r="K266" s="101"/>
      <c r="L266" s="101"/>
      <c r="M266" s="68"/>
      <c r="O266" t="str">
        <f t="shared" si="43"/>
        <v/>
      </c>
      <c r="P266" t="str">
        <f t="shared" si="44"/>
        <v/>
      </c>
      <c r="Q266" t="str">
        <f t="shared" si="45"/>
        <v/>
      </c>
      <c r="R266" t="str">
        <f t="shared" si="46"/>
        <v/>
      </c>
      <c r="AB266" t="s">
        <v>1288</v>
      </c>
      <c r="AC266" t="s">
        <v>1289</v>
      </c>
      <c r="AD266" t="s">
        <v>657</v>
      </c>
      <c r="AE266" t="s">
        <v>658</v>
      </c>
      <c r="AF266" t="s">
        <v>644</v>
      </c>
      <c r="AG266" t="s">
        <v>659</v>
      </c>
    </row>
    <row r="267" spans="1:33">
      <c r="A267" s="64" t="str">
        <f>IF(C267="","",VLOOKUP('OPĆI DIO'!$C$3,'OPĆI DIO'!$L$6:$U$138,10,FALSE))</f>
        <v/>
      </c>
      <c r="B267" s="64" t="str">
        <f>IF(C267="","",VLOOKUP('OPĆI DIO'!$C$3,'OPĆI DIO'!$L$6:$U$138,9,FALSE))</f>
        <v/>
      </c>
      <c r="C267" s="69"/>
      <c r="D267" s="64" t="str">
        <f t="shared" si="47"/>
        <v/>
      </c>
      <c r="E267" s="69"/>
      <c r="F267" s="64" t="str">
        <f t="shared" si="42"/>
        <v/>
      </c>
      <c r="G267" s="102"/>
      <c r="H267" s="64" t="str">
        <f t="shared" si="48"/>
        <v/>
      </c>
      <c r="I267" s="64" t="str">
        <f t="shared" si="49"/>
        <v/>
      </c>
      <c r="J267" s="101"/>
      <c r="K267" s="101"/>
      <c r="L267" s="101"/>
      <c r="M267" s="68"/>
      <c r="O267" t="str">
        <f t="shared" si="43"/>
        <v/>
      </c>
      <c r="P267" t="str">
        <f t="shared" si="44"/>
        <v/>
      </c>
      <c r="Q267" t="str">
        <f t="shared" si="45"/>
        <v/>
      </c>
      <c r="R267" t="str">
        <f t="shared" si="46"/>
        <v/>
      </c>
      <c r="AB267" t="s">
        <v>1290</v>
      </c>
      <c r="AC267" t="s">
        <v>1291</v>
      </c>
      <c r="AD267" t="s">
        <v>657</v>
      </c>
      <c r="AE267" t="s">
        <v>658</v>
      </c>
      <c r="AF267" t="s">
        <v>644</v>
      </c>
      <c r="AG267" t="s">
        <v>659</v>
      </c>
    </row>
    <row r="268" spans="1:33">
      <c r="A268" s="64" t="str">
        <f>IF(C268="","",VLOOKUP('OPĆI DIO'!$C$3,'OPĆI DIO'!$L$6:$U$138,10,FALSE))</f>
        <v/>
      </c>
      <c r="B268" s="64" t="str">
        <f>IF(C268="","",VLOOKUP('OPĆI DIO'!$C$3,'OPĆI DIO'!$L$6:$U$138,9,FALSE))</f>
        <v/>
      </c>
      <c r="C268" s="69"/>
      <c r="D268" s="64" t="str">
        <f t="shared" si="47"/>
        <v/>
      </c>
      <c r="E268" s="69"/>
      <c r="F268" s="64" t="str">
        <f t="shared" si="42"/>
        <v/>
      </c>
      <c r="G268" s="102"/>
      <c r="H268" s="64" t="str">
        <f t="shared" si="48"/>
        <v/>
      </c>
      <c r="I268" s="64" t="str">
        <f t="shared" si="49"/>
        <v/>
      </c>
      <c r="J268" s="101"/>
      <c r="K268" s="101"/>
      <c r="L268" s="101"/>
      <c r="M268" s="68"/>
      <c r="O268" t="str">
        <f t="shared" si="43"/>
        <v/>
      </c>
      <c r="P268" t="str">
        <f t="shared" si="44"/>
        <v/>
      </c>
      <c r="Q268" t="str">
        <f t="shared" si="45"/>
        <v/>
      </c>
      <c r="R268" t="str">
        <f t="shared" si="46"/>
        <v/>
      </c>
      <c r="AB268" t="s">
        <v>1292</v>
      </c>
      <c r="AC268" t="s">
        <v>1293</v>
      </c>
      <c r="AD268" t="s">
        <v>657</v>
      </c>
      <c r="AE268" t="s">
        <v>658</v>
      </c>
      <c r="AF268" t="s">
        <v>644</v>
      </c>
      <c r="AG268" t="s">
        <v>659</v>
      </c>
    </row>
    <row r="269" spans="1:33">
      <c r="A269" s="64" t="str">
        <f>IF(C269="","",VLOOKUP('OPĆI DIO'!$C$3,'OPĆI DIO'!$L$6:$U$138,10,FALSE))</f>
        <v/>
      </c>
      <c r="B269" s="64" t="str">
        <f>IF(C269="","",VLOOKUP('OPĆI DIO'!$C$3,'OPĆI DIO'!$L$6:$U$138,9,FALSE))</f>
        <v/>
      </c>
      <c r="C269" s="69"/>
      <c r="D269" s="64" t="str">
        <f t="shared" si="47"/>
        <v/>
      </c>
      <c r="E269" s="69"/>
      <c r="F269" s="64" t="str">
        <f t="shared" si="42"/>
        <v/>
      </c>
      <c r="G269" s="102"/>
      <c r="H269" s="64" t="str">
        <f t="shared" si="48"/>
        <v/>
      </c>
      <c r="I269" s="64" t="str">
        <f t="shared" si="49"/>
        <v/>
      </c>
      <c r="J269" s="101"/>
      <c r="K269" s="101"/>
      <c r="L269" s="101"/>
      <c r="M269" s="68"/>
      <c r="O269" t="str">
        <f t="shared" si="43"/>
        <v/>
      </c>
      <c r="P269" t="str">
        <f t="shared" si="44"/>
        <v/>
      </c>
      <c r="Q269" t="str">
        <f t="shared" si="45"/>
        <v/>
      </c>
      <c r="R269" t="str">
        <f t="shared" si="46"/>
        <v/>
      </c>
      <c r="AB269" t="s">
        <v>1294</v>
      </c>
      <c r="AC269" t="s">
        <v>1295</v>
      </c>
      <c r="AD269" t="s">
        <v>657</v>
      </c>
      <c r="AE269" t="s">
        <v>658</v>
      </c>
      <c r="AF269" t="s">
        <v>644</v>
      </c>
      <c r="AG269" t="s">
        <v>659</v>
      </c>
    </row>
    <row r="270" spans="1:33">
      <c r="A270" s="64" t="str">
        <f>IF(C270="","",VLOOKUP('OPĆI DIO'!$C$3,'OPĆI DIO'!$L$6:$U$138,10,FALSE))</f>
        <v/>
      </c>
      <c r="B270" s="64" t="str">
        <f>IF(C270="","",VLOOKUP('OPĆI DIO'!$C$3,'OPĆI DIO'!$L$6:$U$138,9,FALSE))</f>
        <v/>
      </c>
      <c r="C270" s="69"/>
      <c r="D270" s="64" t="str">
        <f t="shared" si="47"/>
        <v/>
      </c>
      <c r="E270" s="69"/>
      <c r="F270" s="64" t="str">
        <f t="shared" si="42"/>
        <v/>
      </c>
      <c r="G270" s="102"/>
      <c r="H270" s="64" t="str">
        <f t="shared" si="48"/>
        <v/>
      </c>
      <c r="I270" s="64" t="str">
        <f t="shared" si="49"/>
        <v/>
      </c>
      <c r="J270" s="101"/>
      <c r="K270" s="101"/>
      <c r="L270" s="101"/>
      <c r="M270" s="68"/>
      <c r="O270" t="str">
        <f t="shared" si="43"/>
        <v/>
      </c>
      <c r="P270" t="str">
        <f t="shared" si="44"/>
        <v/>
      </c>
      <c r="Q270" t="str">
        <f t="shared" si="45"/>
        <v/>
      </c>
      <c r="R270" t="str">
        <f t="shared" si="46"/>
        <v/>
      </c>
      <c r="AB270" t="s">
        <v>1296</v>
      </c>
      <c r="AC270" t="s">
        <v>1297</v>
      </c>
      <c r="AD270" t="s">
        <v>657</v>
      </c>
      <c r="AE270" t="s">
        <v>658</v>
      </c>
      <c r="AF270" t="s">
        <v>644</v>
      </c>
      <c r="AG270" t="s">
        <v>659</v>
      </c>
    </row>
    <row r="271" spans="1:33">
      <c r="A271" s="64" t="str">
        <f>IF(C271="","",VLOOKUP('OPĆI DIO'!$C$3,'OPĆI DIO'!$L$6:$U$138,10,FALSE))</f>
        <v/>
      </c>
      <c r="B271" s="64" t="str">
        <f>IF(C271="","",VLOOKUP('OPĆI DIO'!$C$3,'OPĆI DIO'!$L$6:$U$138,9,FALSE))</f>
        <v/>
      </c>
      <c r="C271" s="69"/>
      <c r="D271" s="64" t="str">
        <f t="shared" si="47"/>
        <v/>
      </c>
      <c r="E271" s="69"/>
      <c r="F271" s="64" t="str">
        <f t="shared" ref="F271:F334" si="50">IFERROR(VLOOKUP(E271,$V$5:$X$127,2,FALSE),"")</f>
        <v/>
      </c>
      <c r="G271" s="102"/>
      <c r="H271" s="64" t="str">
        <f t="shared" si="48"/>
        <v/>
      </c>
      <c r="I271" s="64" t="str">
        <f t="shared" si="49"/>
        <v/>
      </c>
      <c r="J271" s="101"/>
      <c r="K271" s="101"/>
      <c r="L271" s="101"/>
      <c r="M271" s="68"/>
      <c r="O271" t="str">
        <f t="shared" si="43"/>
        <v/>
      </c>
      <c r="P271" t="str">
        <f t="shared" si="44"/>
        <v/>
      </c>
      <c r="Q271" t="str">
        <f t="shared" si="45"/>
        <v/>
      </c>
      <c r="R271" t="str">
        <f t="shared" si="46"/>
        <v/>
      </c>
      <c r="AB271" t="s">
        <v>1298</v>
      </c>
      <c r="AC271" t="s">
        <v>1299</v>
      </c>
      <c r="AD271" t="s">
        <v>657</v>
      </c>
      <c r="AE271" t="s">
        <v>658</v>
      </c>
      <c r="AF271" t="s">
        <v>644</v>
      </c>
      <c r="AG271" t="s">
        <v>659</v>
      </c>
    </row>
    <row r="272" spans="1:33">
      <c r="A272" s="64" t="str">
        <f>IF(C272="","",VLOOKUP('OPĆI DIO'!$C$3,'OPĆI DIO'!$L$6:$U$138,10,FALSE))</f>
        <v/>
      </c>
      <c r="B272" s="64" t="str">
        <f>IF(C272="","",VLOOKUP('OPĆI DIO'!$C$3,'OPĆI DIO'!$L$6:$U$138,9,FALSE))</f>
        <v/>
      </c>
      <c r="C272" s="69"/>
      <c r="D272" s="64" t="str">
        <f t="shared" si="47"/>
        <v/>
      </c>
      <c r="E272" s="69"/>
      <c r="F272" s="64" t="str">
        <f t="shared" si="50"/>
        <v/>
      </c>
      <c r="G272" s="102"/>
      <c r="H272" s="64" t="str">
        <f t="shared" si="48"/>
        <v/>
      </c>
      <c r="I272" s="64" t="str">
        <f t="shared" si="49"/>
        <v/>
      </c>
      <c r="J272" s="101"/>
      <c r="K272" s="101"/>
      <c r="L272" s="101"/>
      <c r="M272" s="68"/>
      <c r="O272" t="str">
        <f t="shared" si="43"/>
        <v/>
      </c>
      <c r="P272" t="str">
        <f t="shared" si="44"/>
        <v/>
      </c>
      <c r="Q272" t="str">
        <f t="shared" si="45"/>
        <v/>
      </c>
      <c r="R272" t="str">
        <f t="shared" si="46"/>
        <v/>
      </c>
      <c r="AB272" t="s">
        <v>1300</v>
      </c>
      <c r="AC272" t="s">
        <v>1301</v>
      </c>
      <c r="AD272" t="s">
        <v>657</v>
      </c>
      <c r="AE272" t="s">
        <v>658</v>
      </c>
      <c r="AF272" t="s">
        <v>644</v>
      </c>
      <c r="AG272" t="s">
        <v>659</v>
      </c>
    </row>
    <row r="273" spans="1:33">
      <c r="A273" s="64" t="str">
        <f>IF(C273="","",VLOOKUP('OPĆI DIO'!$C$3,'OPĆI DIO'!$L$6:$U$138,10,FALSE))</f>
        <v/>
      </c>
      <c r="B273" s="64" t="str">
        <f>IF(C273="","",VLOOKUP('OPĆI DIO'!$C$3,'OPĆI DIO'!$L$6:$U$138,9,FALSE))</f>
        <v/>
      </c>
      <c r="C273" s="69"/>
      <c r="D273" s="64" t="str">
        <f t="shared" si="47"/>
        <v/>
      </c>
      <c r="E273" s="69"/>
      <c r="F273" s="64" t="str">
        <f t="shared" si="50"/>
        <v/>
      </c>
      <c r="G273" s="102"/>
      <c r="H273" s="64" t="str">
        <f t="shared" si="48"/>
        <v/>
      </c>
      <c r="I273" s="64" t="str">
        <f t="shared" si="49"/>
        <v/>
      </c>
      <c r="J273" s="101"/>
      <c r="K273" s="101"/>
      <c r="L273" s="101"/>
      <c r="M273" s="68"/>
      <c r="O273" t="str">
        <f t="shared" si="43"/>
        <v/>
      </c>
      <c r="P273" t="str">
        <f t="shared" si="44"/>
        <v/>
      </c>
      <c r="Q273" t="str">
        <f t="shared" si="45"/>
        <v/>
      </c>
      <c r="R273" t="str">
        <f t="shared" si="46"/>
        <v/>
      </c>
      <c r="AB273" t="s">
        <v>1302</v>
      </c>
      <c r="AC273" t="s">
        <v>1303</v>
      </c>
      <c r="AD273" t="s">
        <v>657</v>
      </c>
      <c r="AE273" t="s">
        <v>658</v>
      </c>
      <c r="AF273" t="s">
        <v>644</v>
      </c>
      <c r="AG273" t="s">
        <v>659</v>
      </c>
    </row>
    <row r="274" spans="1:33">
      <c r="A274" s="64" t="str">
        <f>IF(C274="","",VLOOKUP('OPĆI DIO'!$C$3,'OPĆI DIO'!$L$6:$U$138,10,FALSE))</f>
        <v/>
      </c>
      <c r="B274" s="64" t="str">
        <f>IF(C274="","",VLOOKUP('OPĆI DIO'!$C$3,'OPĆI DIO'!$L$6:$U$138,9,FALSE))</f>
        <v/>
      </c>
      <c r="C274" s="69"/>
      <c r="D274" s="64" t="str">
        <f t="shared" si="47"/>
        <v/>
      </c>
      <c r="E274" s="69"/>
      <c r="F274" s="64" t="str">
        <f t="shared" si="50"/>
        <v/>
      </c>
      <c r="G274" s="102"/>
      <c r="H274" s="64" t="str">
        <f t="shared" si="48"/>
        <v/>
      </c>
      <c r="I274" s="64" t="str">
        <f t="shared" si="49"/>
        <v/>
      </c>
      <c r="J274" s="101"/>
      <c r="K274" s="101"/>
      <c r="L274" s="101"/>
      <c r="M274" s="68"/>
      <c r="O274" t="str">
        <f t="shared" si="43"/>
        <v/>
      </c>
      <c r="P274" t="str">
        <f t="shared" si="44"/>
        <v/>
      </c>
      <c r="Q274" t="str">
        <f t="shared" si="45"/>
        <v/>
      </c>
      <c r="R274" t="str">
        <f t="shared" si="46"/>
        <v/>
      </c>
      <c r="AB274" t="s">
        <v>1304</v>
      </c>
      <c r="AC274" t="s">
        <v>1305</v>
      </c>
      <c r="AD274" t="s">
        <v>657</v>
      </c>
      <c r="AE274" t="s">
        <v>658</v>
      </c>
      <c r="AF274" t="s">
        <v>644</v>
      </c>
      <c r="AG274" t="s">
        <v>659</v>
      </c>
    </row>
    <row r="275" spans="1:33">
      <c r="A275" s="64" t="str">
        <f>IF(C275="","",VLOOKUP('OPĆI DIO'!$C$3,'OPĆI DIO'!$L$6:$U$138,10,FALSE))</f>
        <v/>
      </c>
      <c r="B275" s="64" t="str">
        <f>IF(C275="","",VLOOKUP('OPĆI DIO'!$C$3,'OPĆI DIO'!$L$6:$U$138,9,FALSE))</f>
        <v/>
      </c>
      <c r="C275" s="69"/>
      <c r="D275" s="64" t="str">
        <f t="shared" si="47"/>
        <v/>
      </c>
      <c r="E275" s="69"/>
      <c r="F275" s="64" t="str">
        <f t="shared" si="50"/>
        <v/>
      </c>
      <c r="G275" s="102"/>
      <c r="H275" s="64" t="str">
        <f t="shared" si="48"/>
        <v/>
      </c>
      <c r="I275" s="64" t="str">
        <f t="shared" si="49"/>
        <v/>
      </c>
      <c r="J275" s="101"/>
      <c r="K275" s="101"/>
      <c r="L275" s="101"/>
      <c r="M275" s="68"/>
      <c r="O275" t="str">
        <f t="shared" si="43"/>
        <v/>
      </c>
      <c r="P275" t="str">
        <f t="shared" si="44"/>
        <v/>
      </c>
      <c r="Q275" t="str">
        <f t="shared" si="45"/>
        <v/>
      </c>
      <c r="R275" t="str">
        <f t="shared" si="46"/>
        <v/>
      </c>
      <c r="AB275" t="s">
        <v>1306</v>
      </c>
      <c r="AC275" t="s">
        <v>1307</v>
      </c>
      <c r="AD275" t="s">
        <v>657</v>
      </c>
      <c r="AE275" t="s">
        <v>658</v>
      </c>
      <c r="AF275" t="s">
        <v>644</v>
      </c>
      <c r="AG275" t="s">
        <v>659</v>
      </c>
    </row>
    <row r="276" spans="1:33">
      <c r="A276" s="64" t="str">
        <f>IF(C276="","",VLOOKUP('OPĆI DIO'!$C$3,'OPĆI DIO'!$L$6:$U$138,10,FALSE))</f>
        <v/>
      </c>
      <c r="B276" s="64" t="str">
        <f>IF(C276="","",VLOOKUP('OPĆI DIO'!$C$3,'OPĆI DIO'!$L$6:$U$138,9,FALSE))</f>
        <v/>
      </c>
      <c r="C276" s="69"/>
      <c r="D276" s="64" t="str">
        <f t="shared" si="47"/>
        <v/>
      </c>
      <c r="E276" s="69"/>
      <c r="F276" s="64" t="str">
        <f t="shared" si="50"/>
        <v/>
      </c>
      <c r="G276" s="102"/>
      <c r="H276" s="64" t="str">
        <f t="shared" si="48"/>
        <v/>
      </c>
      <c r="I276" s="64" t="str">
        <f t="shared" si="49"/>
        <v/>
      </c>
      <c r="J276" s="101"/>
      <c r="K276" s="101"/>
      <c r="L276" s="101"/>
      <c r="M276" s="68"/>
      <c r="O276" t="str">
        <f t="shared" si="43"/>
        <v/>
      </c>
      <c r="P276" t="str">
        <f t="shared" si="44"/>
        <v/>
      </c>
      <c r="Q276" t="str">
        <f t="shared" si="45"/>
        <v/>
      </c>
      <c r="R276" t="str">
        <f t="shared" si="46"/>
        <v/>
      </c>
      <c r="AB276" t="s">
        <v>1308</v>
      </c>
      <c r="AC276" t="s">
        <v>1309</v>
      </c>
      <c r="AD276" t="s">
        <v>657</v>
      </c>
      <c r="AE276" t="s">
        <v>658</v>
      </c>
      <c r="AF276" t="s">
        <v>644</v>
      </c>
      <c r="AG276" t="s">
        <v>659</v>
      </c>
    </row>
    <row r="277" spans="1:33">
      <c r="A277" s="64" t="str">
        <f>IF(C277="","",VLOOKUP('OPĆI DIO'!$C$3,'OPĆI DIO'!$L$6:$U$138,10,FALSE))</f>
        <v/>
      </c>
      <c r="B277" s="64" t="str">
        <f>IF(C277="","",VLOOKUP('OPĆI DIO'!$C$3,'OPĆI DIO'!$L$6:$U$138,9,FALSE))</f>
        <v/>
      </c>
      <c r="C277" s="69"/>
      <c r="D277" s="64" t="str">
        <f t="shared" si="47"/>
        <v/>
      </c>
      <c r="E277" s="69"/>
      <c r="F277" s="64" t="str">
        <f t="shared" si="50"/>
        <v/>
      </c>
      <c r="G277" s="102"/>
      <c r="H277" s="64" t="str">
        <f t="shared" si="48"/>
        <v/>
      </c>
      <c r="I277" s="64" t="str">
        <f t="shared" si="49"/>
        <v/>
      </c>
      <c r="J277" s="101"/>
      <c r="K277" s="101"/>
      <c r="L277" s="101"/>
      <c r="M277" s="68"/>
      <c r="O277" t="str">
        <f t="shared" si="43"/>
        <v/>
      </c>
      <c r="P277" t="str">
        <f t="shared" si="44"/>
        <v/>
      </c>
      <c r="Q277" t="str">
        <f t="shared" si="45"/>
        <v/>
      </c>
      <c r="R277" t="str">
        <f t="shared" si="46"/>
        <v/>
      </c>
      <c r="AB277" t="s">
        <v>1310</v>
      </c>
      <c r="AC277" t="s">
        <v>1311</v>
      </c>
      <c r="AD277" t="s">
        <v>657</v>
      </c>
      <c r="AE277" t="s">
        <v>658</v>
      </c>
      <c r="AF277" t="s">
        <v>644</v>
      </c>
      <c r="AG277" t="s">
        <v>659</v>
      </c>
    </row>
    <row r="278" spans="1:33">
      <c r="A278" s="64" t="str">
        <f>IF(C278="","",VLOOKUP('OPĆI DIO'!$C$3,'OPĆI DIO'!$L$6:$U$138,10,FALSE))</f>
        <v/>
      </c>
      <c r="B278" s="64" t="str">
        <f>IF(C278="","",VLOOKUP('OPĆI DIO'!$C$3,'OPĆI DIO'!$L$6:$U$138,9,FALSE))</f>
        <v/>
      </c>
      <c r="C278" s="69"/>
      <c r="D278" s="64" t="str">
        <f t="shared" si="47"/>
        <v/>
      </c>
      <c r="E278" s="69"/>
      <c r="F278" s="64" t="str">
        <f t="shared" si="50"/>
        <v/>
      </c>
      <c r="G278" s="102"/>
      <c r="H278" s="64" t="str">
        <f t="shared" si="48"/>
        <v/>
      </c>
      <c r="I278" s="64" t="str">
        <f t="shared" si="49"/>
        <v/>
      </c>
      <c r="J278" s="101"/>
      <c r="K278" s="101"/>
      <c r="L278" s="101"/>
      <c r="M278" s="68"/>
      <c r="O278" t="str">
        <f t="shared" si="43"/>
        <v/>
      </c>
      <c r="P278" t="str">
        <f t="shared" si="44"/>
        <v/>
      </c>
      <c r="Q278" t="str">
        <f t="shared" si="45"/>
        <v/>
      </c>
      <c r="R278" t="str">
        <f t="shared" si="46"/>
        <v/>
      </c>
      <c r="AB278" t="s">
        <v>1312</v>
      </c>
      <c r="AC278" t="s">
        <v>1313</v>
      </c>
      <c r="AD278" t="s">
        <v>657</v>
      </c>
      <c r="AE278" t="s">
        <v>658</v>
      </c>
      <c r="AF278" t="s">
        <v>644</v>
      </c>
      <c r="AG278" t="s">
        <v>659</v>
      </c>
    </row>
    <row r="279" spans="1:33">
      <c r="A279" s="64" t="str">
        <f>IF(C279="","",VLOOKUP('OPĆI DIO'!$C$3,'OPĆI DIO'!$L$6:$U$138,10,FALSE))</f>
        <v/>
      </c>
      <c r="B279" s="64" t="str">
        <f>IF(C279="","",VLOOKUP('OPĆI DIO'!$C$3,'OPĆI DIO'!$L$6:$U$138,9,FALSE))</f>
        <v/>
      </c>
      <c r="C279" s="69"/>
      <c r="D279" s="64" t="str">
        <f t="shared" si="47"/>
        <v/>
      </c>
      <c r="E279" s="69"/>
      <c r="F279" s="64" t="str">
        <f t="shared" si="50"/>
        <v/>
      </c>
      <c r="G279" s="102"/>
      <c r="H279" s="64" t="str">
        <f t="shared" si="48"/>
        <v/>
      </c>
      <c r="I279" s="64" t="str">
        <f t="shared" si="49"/>
        <v/>
      </c>
      <c r="J279" s="101"/>
      <c r="K279" s="101"/>
      <c r="L279" s="101"/>
      <c r="M279" s="68"/>
      <c r="O279" t="str">
        <f t="shared" si="43"/>
        <v/>
      </c>
      <c r="P279" t="str">
        <f t="shared" si="44"/>
        <v/>
      </c>
      <c r="Q279" t="str">
        <f t="shared" si="45"/>
        <v/>
      </c>
      <c r="R279" t="str">
        <f t="shared" si="46"/>
        <v/>
      </c>
      <c r="AB279" t="s">
        <v>1314</v>
      </c>
      <c r="AC279" t="s">
        <v>1315</v>
      </c>
      <c r="AD279" t="s">
        <v>657</v>
      </c>
      <c r="AE279" t="s">
        <v>658</v>
      </c>
      <c r="AF279" t="s">
        <v>644</v>
      </c>
      <c r="AG279" t="s">
        <v>659</v>
      </c>
    </row>
    <row r="280" spans="1:33">
      <c r="A280" s="64" t="str">
        <f>IF(C280="","",VLOOKUP('OPĆI DIO'!$C$3,'OPĆI DIO'!$L$6:$U$138,10,FALSE))</f>
        <v/>
      </c>
      <c r="B280" s="64" t="str">
        <f>IF(C280="","",VLOOKUP('OPĆI DIO'!$C$3,'OPĆI DIO'!$L$6:$U$138,9,FALSE))</f>
        <v/>
      </c>
      <c r="C280" s="69"/>
      <c r="D280" s="64" t="str">
        <f t="shared" si="47"/>
        <v/>
      </c>
      <c r="E280" s="69"/>
      <c r="F280" s="64" t="str">
        <f t="shared" si="50"/>
        <v/>
      </c>
      <c r="G280" s="102"/>
      <c r="H280" s="64" t="str">
        <f t="shared" si="48"/>
        <v/>
      </c>
      <c r="I280" s="64" t="str">
        <f t="shared" si="49"/>
        <v/>
      </c>
      <c r="J280" s="101"/>
      <c r="K280" s="101"/>
      <c r="L280" s="101"/>
      <c r="M280" s="68"/>
      <c r="O280" t="str">
        <f t="shared" si="43"/>
        <v/>
      </c>
      <c r="P280" t="str">
        <f t="shared" si="44"/>
        <v/>
      </c>
      <c r="Q280" t="str">
        <f t="shared" si="45"/>
        <v/>
      </c>
      <c r="R280" t="str">
        <f t="shared" si="46"/>
        <v/>
      </c>
      <c r="AB280" t="s">
        <v>1316</v>
      </c>
      <c r="AC280" t="s">
        <v>1317</v>
      </c>
      <c r="AD280" t="s">
        <v>657</v>
      </c>
      <c r="AE280" t="s">
        <v>658</v>
      </c>
      <c r="AF280" t="s">
        <v>644</v>
      </c>
      <c r="AG280" t="s">
        <v>659</v>
      </c>
    </row>
    <row r="281" spans="1:33">
      <c r="A281" s="64" t="str">
        <f>IF(C281="","",VLOOKUP('OPĆI DIO'!$C$3,'OPĆI DIO'!$L$6:$U$138,10,FALSE))</f>
        <v/>
      </c>
      <c r="B281" s="64" t="str">
        <f>IF(C281="","",VLOOKUP('OPĆI DIO'!$C$3,'OPĆI DIO'!$L$6:$U$138,9,FALSE))</f>
        <v/>
      </c>
      <c r="C281" s="69"/>
      <c r="D281" s="64" t="str">
        <f t="shared" si="47"/>
        <v/>
      </c>
      <c r="E281" s="69"/>
      <c r="F281" s="64" t="str">
        <f t="shared" si="50"/>
        <v/>
      </c>
      <c r="G281" s="102"/>
      <c r="H281" s="64" t="str">
        <f t="shared" si="48"/>
        <v/>
      </c>
      <c r="I281" s="64" t="str">
        <f t="shared" si="49"/>
        <v/>
      </c>
      <c r="J281" s="101"/>
      <c r="K281" s="101"/>
      <c r="L281" s="101"/>
      <c r="M281" s="68"/>
      <c r="O281" t="str">
        <f t="shared" si="43"/>
        <v/>
      </c>
      <c r="P281" t="str">
        <f t="shared" si="44"/>
        <v/>
      </c>
      <c r="Q281" t="str">
        <f t="shared" si="45"/>
        <v/>
      </c>
      <c r="R281" t="str">
        <f t="shared" si="46"/>
        <v/>
      </c>
      <c r="AB281" t="s">
        <v>1318</v>
      </c>
      <c r="AC281" t="s">
        <v>1319</v>
      </c>
      <c r="AD281" t="s">
        <v>657</v>
      </c>
      <c r="AE281" t="s">
        <v>658</v>
      </c>
      <c r="AF281" t="s">
        <v>644</v>
      </c>
      <c r="AG281" t="s">
        <v>659</v>
      </c>
    </row>
    <row r="282" spans="1:33">
      <c r="A282" s="64" t="str">
        <f>IF(C282="","",VLOOKUP('OPĆI DIO'!$C$3,'OPĆI DIO'!$L$6:$U$138,10,FALSE))</f>
        <v/>
      </c>
      <c r="B282" s="64" t="str">
        <f>IF(C282="","",VLOOKUP('OPĆI DIO'!$C$3,'OPĆI DIO'!$L$6:$U$138,9,FALSE))</f>
        <v/>
      </c>
      <c r="C282" s="69"/>
      <c r="D282" s="64" t="str">
        <f t="shared" si="47"/>
        <v/>
      </c>
      <c r="E282" s="69"/>
      <c r="F282" s="64" t="str">
        <f t="shared" si="50"/>
        <v/>
      </c>
      <c r="G282" s="102"/>
      <c r="H282" s="64" t="str">
        <f t="shared" si="48"/>
        <v/>
      </c>
      <c r="I282" s="64" t="str">
        <f t="shared" si="49"/>
        <v/>
      </c>
      <c r="J282" s="101"/>
      <c r="K282" s="101"/>
      <c r="L282" s="101"/>
      <c r="M282" s="68"/>
      <c r="O282" t="str">
        <f t="shared" si="43"/>
        <v/>
      </c>
      <c r="P282" t="str">
        <f t="shared" si="44"/>
        <v/>
      </c>
      <c r="Q282" t="str">
        <f t="shared" si="45"/>
        <v/>
      </c>
      <c r="R282" t="str">
        <f t="shared" si="46"/>
        <v/>
      </c>
      <c r="AB282" t="s">
        <v>1320</v>
      </c>
      <c r="AC282" t="s">
        <v>1321</v>
      </c>
      <c r="AD282" t="s">
        <v>657</v>
      </c>
      <c r="AE282" t="s">
        <v>658</v>
      </c>
      <c r="AF282" t="s">
        <v>644</v>
      </c>
      <c r="AG282" t="s">
        <v>659</v>
      </c>
    </row>
    <row r="283" spans="1:33">
      <c r="A283" s="64" t="str">
        <f>IF(C283="","",VLOOKUP('OPĆI DIO'!$C$3,'OPĆI DIO'!$L$6:$U$138,10,FALSE))</f>
        <v/>
      </c>
      <c r="B283" s="64" t="str">
        <f>IF(C283="","",VLOOKUP('OPĆI DIO'!$C$3,'OPĆI DIO'!$L$6:$U$138,9,FALSE))</f>
        <v/>
      </c>
      <c r="C283" s="69"/>
      <c r="D283" s="64" t="str">
        <f t="shared" si="47"/>
        <v/>
      </c>
      <c r="E283" s="69"/>
      <c r="F283" s="64" t="str">
        <f t="shared" si="50"/>
        <v/>
      </c>
      <c r="G283" s="102"/>
      <c r="H283" s="64" t="str">
        <f t="shared" si="48"/>
        <v/>
      </c>
      <c r="I283" s="64" t="str">
        <f t="shared" si="49"/>
        <v/>
      </c>
      <c r="J283" s="101"/>
      <c r="K283" s="101"/>
      <c r="L283" s="101"/>
      <c r="M283" s="68"/>
      <c r="O283" t="str">
        <f t="shared" si="43"/>
        <v/>
      </c>
      <c r="P283" t="str">
        <f t="shared" si="44"/>
        <v/>
      </c>
      <c r="Q283" t="str">
        <f t="shared" si="45"/>
        <v/>
      </c>
      <c r="R283" t="str">
        <f t="shared" si="46"/>
        <v/>
      </c>
      <c r="AB283" t="s">
        <v>1322</v>
      </c>
      <c r="AC283" t="s">
        <v>1323</v>
      </c>
      <c r="AD283" t="s">
        <v>657</v>
      </c>
      <c r="AE283" t="s">
        <v>658</v>
      </c>
      <c r="AF283" t="s">
        <v>644</v>
      </c>
      <c r="AG283" t="s">
        <v>659</v>
      </c>
    </row>
    <row r="284" spans="1:33">
      <c r="A284" s="64" t="str">
        <f>IF(C284="","",VLOOKUP('OPĆI DIO'!$C$3,'OPĆI DIO'!$L$6:$U$138,10,FALSE))</f>
        <v/>
      </c>
      <c r="B284" s="64" t="str">
        <f>IF(C284="","",VLOOKUP('OPĆI DIO'!$C$3,'OPĆI DIO'!$L$6:$U$138,9,FALSE))</f>
        <v/>
      </c>
      <c r="C284" s="69"/>
      <c r="D284" s="64" t="str">
        <f t="shared" si="47"/>
        <v/>
      </c>
      <c r="E284" s="69"/>
      <c r="F284" s="64" t="str">
        <f t="shared" si="50"/>
        <v/>
      </c>
      <c r="G284" s="102"/>
      <c r="H284" s="64" t="str">
        <f t="shared" si="48"/>
        <v/>
      </c>
      <c r="I284" s="64" t="str">
        <f t="shared" si="49"/>
        <v/>
      </c>
      <c r="J284" s="101"/>
      <c r="K284" s="101"/>
      <c r="L284" s="101"/>
      <c r="M284" s="68"/>
      <c r="O284" t="str">
        <f t="shared" si="43"/>
        <v/>
      </c>
      <c r="P284" t="str">
        <f t="shared" si="44"/>
        <v/>
      </c>
      <c r="Q284" t="str">
        <f t="shared" si="45"/>
        <v/>
      </c>
      <c r="R284" t="str">
        <f t="shared" si="46"/>
        <v/>
      </c>
      <c r="AB284" t="s">
        <v>1324</v>
      </c>
      <c r="AC284" t="s">
        <v>1325</v>
      </c>
      <c r="AD284" t="s">
        <v>657</v>
      </c>
      <c r="AE284" t="s">
        <v>658</v>
      </c>
      <c r="AF284" t="s">
        <v>644</v>
      </c>
      <c r="AG284" t="s">
        <v>659</v>
      </c>
    </row>
    <row r="285" spans="1:33">
      <c r="A285" s="64" t="str">
        <f>IF(C285="","",VLOOKUP('OPĆI DIO'!$C$3,'OPĆI DIO'!$L$6:$U$138,10,FALSE))</f>
        <v/>
      </c>
      <c r="B285" s="64" t="str">
        <f>IF(C285="","",VLOOKUP('OPĆI DIO'!$C$3,'OPĆI DIO'!$L$6:$U$138,9,FALSE))</f>
        <v/>
      </c>
      <c r="C285" s="69"/>
      <c r="D285" s="64" t="str">
        <f t="shared" si="47"/>
        <v/>
      </c>
      <c r="E285" s="69"/>
      <c r="F285" s="64" t="str">
        <f t="shared" si="50"/>
        <v/>
      </c>
      <c r="G285" s="102"/>
      <c r="H285" s="64" t="str">
        <f t="shared" si="48"/>
        <v/>
      </c>
      <c r="I285" s="64" t="str">
        <f t="shared" si="49"/>
        <v/>
      </c>
      <c r="J285" s="101"/>
      <c r="K285" s="101"/>
      <c r="L285" s="101"/>
      <c r="M285" s="68"/>
      <c r="O285" t="str">
        <f t="shared" si="43"/>
        <v/>
      </c>
      <c r="P285" t="str">
        <f t="shared" si="44"/>
        <v/>
      </c>
      <c r="Q285" t="str">
        <f t="shared" si="45"/>
        <v/>
      </c>
      <c r="R285" t="str">
        <f t="shared" si="46"/>
        <v/>
      </c>
      <c r="AB285" t="s">
        <v>1326</v>
      </c>
      <c r="AC285" t="s">
        <v>1327</v>
      </c>
      <c r="AD285" t="s">
        <v>657</v>
      </c>
      <c r="AE285" t="s">
        <v>658</v>
      </c>
      <c r="AF285" t="s">
        <v>644</v>
      </c>
      <c r="AG285" t="s">
        <v>659</v>
      </c>
    </row>
    <row r="286" spans="1:33">
      <c r="A286" s="64" t="str">
        <f>IF(C286="","",VLOOKUP('OPĆI DIO'!$C$3,'OPĆI DIO'!$L$6:$U$138,10,FALSE))</f>
        <v/>
      </c>
      <c r="B286" s="64" t="str">
        <f>IF(C286="","",VLOOKUP('OPĆI DIO'!$C$3,'OPĆI DIO'!$L$6:$U$138,9,FALSE))</f>
        <v/>
      </c>
      <c r="C286" s="69"/>
      <c r="D286" s="64" t="str">
        <f t="shared" si="47"/>
        <v/>
      </c>
      <c r="E286" s="69"/>
      <c r="F286" s="64" t="str">
        <f t="shared" si="50"/>
        <v/>
      </c>
      <c r="G286" s="102"/>
      <c r="H286" s="64" t="str">
        <f t="shared" si="48"/>
        <v/>
      </c>
      <c r="I286" s="64" t="str">
        <f t="shared" si="49"/>
        <v/>
      </c>
      <c r="J286" s="101"/>
      <c r="K286" s="101"/>
      <c r="L286" s="101"/>
      <c r="M286" s="68"/>
      <c r="O286" t="str">
        <f t="shared" si="43"/>
        <v/>
      </c>
      <c r="P286" t="str">
        <f t="shared" si="44"/>
        <v/>
      </c>
      <c r="Q286" t="str">
        <f t="shared" si="45"/>
        <v/>
      </c>
      <c r="R286" t="str">
        <f t="shared" si="46"/>
        <v/>
      </c>
      <c r="AB286" t="s">
        <v>1328</v>
      </c>
      <c r="AC286" t="s">
        <v>1329</v>
      </c>
      <c r="AD286" t="s">
        <v>657</v>
      </c>
      <c r="AE286" t="s">
        <v>658</v>
      </c>
      <c r="AF286" t="s">
        <v>644</v>
      </c>
      <c r="AG286" t="s">
        <v>659</v>
      </c>
    </row>
    <row r="287" spans="1:33">
      <c r="A287" s="64" t="str">
        <f>IF(C287="","",VLOOKUP('OPĆI DIO'!$C$3,'OPĆI DIO'!$L$6:$U$138,10,FALSE))</f>
        <v/>
      </c>
      <c r="B287" s="64" t="str">
        <f>IF(C287="","",VLOOKUP('OPĆI DIO'!$C$3,'OPĆI DIO'!$L$6:$U$138,9,FALSE))</f>
        <v/>
      </c>
      <c r="C287" s="69"/>
      <c r="D287" s="64" t="str">
        <f t="shared" si="47"/>
        <v/>
      </c>
      <c r="E287" s="69"/>
      <c r="F287" s="64" t="str">
        <f t="shared" si="50"/>
        <v/>
      </c>
      <c r="G287" s="102"/>
      <c r="H287" s="64" t="str">
        <f t="shared" si="48"/>
        <v/>
      </c>
      <c r="I287" s="64" t="str">
        <f t="shared" si="49"/>
        <v/>
      </c>
      <c r="J287" s="101"/>
      <c r="K287" s="101"/>
      <c r="L287" s="101"/>
      <c r="M287" s="68"/>
      <c r="O287" t="str">
        <f t="shared" si="43"/>
        <v/>
      </c>
      <c r="P287" t="str">
        <f t="shared" si="44"/>
        <v/>
      </c>
      <c r="Q287" t="str">
        <f t="shared" si="45"/>
        <v/>
      </c>
      <c r="R287" t="str">
        <f t="shared" si="46"/>
        <v/>
      </c>
      <c r="AB287" t="s">
        <v>1330</v>
      </c>
      <c r="AC287" t="s">
        <v>1331</v>
      </c>
      <c r="AD287" t="s">
        <v>657</v>
      </c>
      <c r="AE287" t="s">
        <v>658</v>
      </c>
      <c r="AF287" t="s">
        <v>644</v>
      </c>
      <c r="AG287" t="s">
        <v>659</v>
      </c>
    </row>
    <row r="288" spans="1:33">
      <c r="A288" s="64" t="str">
        <f>IF(C288="","",VLOOKUP('OPĆI DIO'!$C$3,'OPĆI DIO'!$L$6:$U$138,10,FALSE))</f>
        <v/>
      </c>
      <c r="B288" s="64" t="str">
        <f>IF(C288="","",VLOOKUP('OPĆI DIO'!$C$3,'OPĆI DIO'!$L$6:$U$138,9,FALSE))</f>
        <v/>
      </c>
      <c r="C288" s="69"/>
      <c r="D288" s="64" t="str">
        <f t="shared" si="47"/>
        <v/>
      </c>
      <c r="E288" s="69"/>
      <c r="F288" s="64" t="str">
        <f t="shared" si="50"/>
        <v/>
      </c>
      <c r="G288" s="102"/>
      <c r="H288" s="64" t="str">
        <f t="shared" si="48"/>
        <v/>
      </c>
      <c r="I288" s="64" t="str">
        <f t="shared" si="49"/>
        <v/>
      </c>
      <c r="J288" s="101"/>
      <c r="K288" s="101"/>
      <c r="L288" s="101"/>
      <c r="M288" s="68"/>
      <c r="O288" t="str">
        <f t="shared" si="43"/>
        <v/>
      </c>
      <c r="P288" t="str">
        <f t="shared" si="44"/>
        <v/>
      </c>
      <c r="Q288" t="str">
        <f t="shared" si="45"/>
        <v/>
      </c>
      <c r="R288" t="str">
        <f t="shared" si="46"/>
        <v/>
      </c>
      <c r="AB288" t="s">
        <v>1332</v>
      </c>
      <c r="AC288" t="s">
        <v>1333</v>
      </c>
      <c r="AD288" t="s">
        <v>657</v>
      </c>
      <c r="AE288" t="s">
        <v>658</v>
      </c>
      <c r="AF288" t="s">
        <v>644</v>
      </c>
      <c r="AG288" t="s">
        <v>659</v>
      </c>
    </row>
    <row r="289" spans="1:33">
      <c r="A289" s="64" t="str">
        <f>IF(C289="","",VLOOKUP('OPĆI DIO'!$C$3,'OPĆI DIO'!$L$6:$U$138,10,FALSE))</f>
        <v/>
      </c>
      <c r="B289" s="64" t="str">
        <f>IF(C289="","",VLOOKUP('OPĆI DIO'!$C$3,'OPĆI DIO'!$L$6:$U$138,9,FALSE))</f>
        <v/>
      </c>
      <c r="C289" s="69"/>
      <c r="D289" s="64" t="str">
        <f t="shared" si="47"/>
        <v/>
      </c>
      <c r="E289" s="69"/>
      <c r="F289" s="64" t="str">
        <f t="shared" si="50"/>
        <v/>
      </c>
      <c r="G289" s="102"/>
      <c r="H289" s="64" t="str">
        <f t="shared" si="48"/>
        <v/>
      </c>
      <c r="I289" s="64" t="str">
        <f t="shared" si="49"/>
        <v/>
      </c>
      <c r="J289" s="101"/>
      <c r="K289" s="101"/>
      <c r="L289" s="101"/>
      <c r="M289" s="68"/>
      <c r="O289" t="str">
        <f t="shared" si="43"/>
        <v/>
      </c>
      <c r="P289" t="str">
        <f t="shared" si="44"/>
        <v/>
      </c>
      <c r="Q289" t="str">
        <f t="shared" si="45"/>
        <v/>
      </c>
      <c r="R289" t="str">
        <f t="shared" si="46"/>
        <v/>
      </c>
      <c r="AB289" t="s">
        <v>1334</v>
      </c>
      <c r="AC289" t="s">
        <v>1335</v>
      </c>
      <c r="AD289" t="s">
        <v>657</v>
      </c>
      <c r="AE289" t="s">
        <v>658</v>
      </c>
      <c r="AF289" t="s">
        <v>644</v>
      </c>
      <c r="AG289" t="s">
        <v>659</v>
      </c>
    </row>
    <row r="290" spans="1:33">
      <c r="A290" s="64" t="str">
        <f>IF(C290="","",VLOOKUP('OPĆI DIO'!$C$3,'OPĆI DIO'!$L$6:$U$138,10,FALSE))</f>
        <v/>
      </c>
      <c r="B290" s="64" t="str">
        <f>IF(C290="","",VLOOKUP('OPĆI DIO'!$C$3,'OPĆI DIO'!$L$6:$U$138,9,FALSE))</f>
        <v/>
      </c>
      <c r="C290" s="69"/>
      <c r="D290" s="64" t="str">
        <f t="shared" si="47"/>
        <v/>
      </c>
      <c r="E290" s="69"/>
      <c r="F290" s="64" t="str">
        <f t="shared" si="50"/>
        <v/>
      </c>
      <c r="G290" s="102"/>
      <c r="H290" s="64" t="str">
        <f t="shared" si="48"/>
        <v/>
      </c>
      <c r="I290" s="64" t="str">
        <f t="shared" si="49"/>
        <v/>
      </c>
      <c r="J290" s="101"/>
      <c r="K290" s="101"/>
      <c r="L290" s="101"/>
      <c r="M290" s="68"/>
      <c r="O290" t="str">
        <f t="shared" si="43"/>
        <v/>
      </c>
      <c r="P290" t="str">
        <f t="shared" si="44"/>
        <v/>
      </c>
      <c r="Q290" t="str">
        <f t="shared" si="45"/>
        <v/>
      </c>
      <c r="R290" t="str">
        <f t="shared" si="46"/>
        <v/>
      </c>
      <c r="AB290" t="s">
        <v>1336</v>
      </c>
      <c r="AC290" t="s">
        <v>1337</v>
      </c>
      <c r="AD290" t="s">
        <v>657</v>
      </c>
      <c r="AE290" t="s">
        <v>658</v>
      </c>
      <c r="AF290" t="s">
        <v>644</v>
      </c>
      <c r="AG290" t="s">
        <v>659</v>
      </c>
    </row>
    <row r="291" spans="1:33">
      <c r="A291" s="64" t="str">
        <f>IF(C291="","",VLOOKUP('OPĆI DIO'!$C$3,'OPĆI DIO'!$L$6:$U$138,10,FALSE))</f>
        <v/>
      </c>
      <c r="B291" s="64" t="str">
        <f>IF(C291="","",VLOOKUP('OPĆI DIO'!$C$3,'OPĆI DIO'!$L$6:$U$138,9,FALSE))</f>
        <v/>
      </c>
      <c r="C291" s="69"/>
      <c r="D291" s="64" t="str">
        <f t="shared" si="47"/>
        <v/>
      </c>
      <c r="E291" s="69"/>
      <c r="F291" s="64" t="str">
        <f t="shared" si="50"/>
        <v/>
      </c>
      <c r="G291" s="102"/>
      <c r="H291" s="64" t="str">
        <f t="shared" si="48"/>
        <v/>
      </c>
      <c r="I291" s="64" t="str">
        <f t="shared" si="49"/>
        <v/>
      </c>
      <c r="J291" s="101"/>
      <c r="K291" s="101"/>
      <c r="L291" s="101"/>
      <c r="M291" s="68"/>
      <c r="O291" t="str">
        <f t="shared" si="43"/>
        <v/>
      </c>
      <c r="P291" t="str">
        <f t="shared" si="44"/>
        <v/>
      </c>
      <c r="Q291" t="str">
        <f t="shared" si="45"/>
        <v/>
      </c>
      <c r="R291" t="str">
        <f t="shared" si="46"/>
        <v/>
      </c>
      <c r="AB291" t="s">
        <v>1338</v>
      </c>
      <c r="AC291" t="s">
        <v>1339</v>
      </c>
      <c r="AD291" t="s">
        <v>657</v>
      </c>
      <c r="AE291" t="s">
        <v>658</v>
      </c>
      <c r="AF291" t="s">
        <v>644</v>
      </c>
      <c r="AG291" t="s">
        <v>659</v>
      </c>
    </row>
    <row r="292" spans="1:33">
      <c r="A292" s="64" t="str">
        <f>IF(C292="","",VLOOKUP('OPĆI DIO'!$C$3,'OPĆI DIO'!$L$6:$U$138,10,FALSE))</f>
        <v/>
      </c>
      <c r="B292" s="64" t="str">
        <f>IF(C292="","",VLOOKUP('OPĆI DIO'!$C$3,'OPĆI DIO'!$L$6:$U$138,9,FALSE))</f>
        <v/>
      </c>
      <c r="C292" s="69"/>
      <c r="D292" s="64" t="str">
        <f t="shared" si="47"/>
        <v/>
      </c>
      <c r="E292" s="69"/>
      <c r="F292" s="64" t="str">
        <f t="shared" si="50"/>
        <v/>
      </c>
      <c r="G292" s="102"/>
      <c r="H292" s="64" t="str">
        <f t="shared" si="48"/>
        <v/>
      </c>
      <c r="I292" s="64" t="str">
        <f t="shared" si="49"/>
        <v/>
      </c>
      <c r="J292" s="101"/>
      <c r="K292" s="101"/>
      <c r="L292" s="101"/>
      <c r="M292" s="68"/>
      <c r="O292" t="str">
        <f t="shared" si="43"/>
        <v/>
      </c>
      <c r="P292" t="str">
        <f t="shared" si="44"/>
        <v/>
      </c>
      <c r="Q292" t="str">
        <f t="shared" si="45"/>
        <v/>
      </c>
      <c r="R292" t="str">
        <f t="shared" si="46"/>
        <v/>
      </c>
      <c r="AB292" t="s">
        <v>1340</v>
      </c>
      <c r="AC292" t="s">
        <v>1341</v>
      </c>
      <c r="AD292" t="s">
        <v>657</v>
      </c>
      <c r="AE292" t="s">
        <v>658</v>
      </c>
      <c r="AF292" t="s">
        <v>644</v>
      </c>
      <c r="AG292" t="s">
        <v>659</v>
      </c>
    </row>
    <row r="293" spans="1:33">
      <c r="A293" s="64" t="str">
        <f>IF(C293="","",VLOOKUP('OPĆI DIO'!$C$3,'OPĆI DIO'!$L$6:$U$138,10,FALSE))</f>
        <v/>
      </c>
      <c r="B293" s="64" t="str">
        <f>IF(C293="","",VLOOKUP('OPĆI DIO'!$C$3,'OPĆI DIO'!$L$6:$U$138,9,FALSE))</f>
        <v/>
      </c>
      <c r="C293" s="69"/>
      <c r="D293" s="64" t="str">
        <f t="shared" si="47"/>
        <v/>
      </c>
      <c r="E293" s="69"/>
      <c r="F293" s="64" t="str">
        <f t="shared" si="50"/>
        <v/>
      </c>
      <c r="G293" s="102"/>
      <c r="H293" s="64" t="str">
        <f t="shared" si="48"/>
        <v/>
      </c>
      <c r="I293" s="64" t="str">
        <f t="shared" si="49"/>
        <v/>
      </c>
      <c r="J293" s="101"/>
      <c r="K293" s="101"/>
      <c r="L293" s="101"/>
      <c r="M293" s="68"/>
      <c r="O293" t="str">
        <f t="shared" si="43"/>
        <v/>
      </c>
      <c r="P293" t="str">
        <f t="shared" si="44"/>
        <v/>
      </c>
      <c r="Q293" t="str">
        <f t="shared" si="45"/>
        <v/>
      </c>
      <c r="R293" t="str">
        <f t="shared" si="46"/>
        <v/>
      </c>
      <c r="AB293" t="s">
        <v>1342</v>
      </c>
      <c r="AC293" t="s">
        <v>1343</v>
      </c>
      <c r="AD293" t="s">
        <v>657</v>
      </c>
      <c r="AE293" t="s">
        <v>658</v>
      </c>
      <c r="AF293" t="s">
        <v>644</v>
      </c>
      <c r="AG293" t="s">
        <v>659</v>
      </c>
    </row>
    <row r="294" spans="1:33">
      <c r="A294" s="64" t="str">
        <f>IF(C294="","",VLOOKUP('OPĆI DIO'!$C$3,'OPĆI DIO'!$L$6:$U$138,10,FALSE))</f>
        <v/>
      </c>
      <c r="B294" s="64" t="str">
        <f>IF(C294="","",VLOOKUP('OPĆI DIO'!$C$3,'OPĆI DIO'!$L$6:$U$138,9,FALSE))</f>
        <v/>
      </c>
      <c r="C294" s="69"/>
      <c r="D294" s="64" t="str">
        <f t="shared" si="47"/>
        <v/>
      </c>
      <c r="E294" s="69"/>
      <c r="F294" s="64" t="str">
        <f t="shared" si="50"/>
        <v/>
      </c>
      <c r="G294" s="102"/>
      <c r="H294" s="64" t="str">
        <f t="shared" si="48"/>
        <v/>
      </c>
      <c r="I294" s="64" t="str">
        <f t="shared" si="49"/>
        <v/>
      </c>
      <c r="J294" s="101"/>
      <c r="K294" s="101"/>
      <c r="L294" s="101"/>
      <c r="M294" s="68"/>
      <c r="O294" t="str">
        <f t="shared" si="43"/>
        <v/>
      </c>
      <c r="P294" t="str">
        <f t="shared" si="44"/>
        <v/>
      </c>
      <c r="Q294" t="str">
        <f t="shared" si="45"/>
        <v/>
      </c>
      <c r="R294" t="str">
        <f t="shared" si="46"/>
        <v/>
      </c>
      <c r="AB294" t="s">
        <v>1344</v>
      </c>
      <c r="AC294" t="s">
        <v>1345</v>
      </c>
      <c r="AD294" t="s">
        <v>657</v>
      </c>
      <c r="AE294" t="s">
        <v>658</v>
      </c>
      <c r="AF294" t="s">
        <v>644</v>
      </c>
      <c r="AG294" t="s">
        <v>659</v>
      </c>
    </row>
    <row r="295" spans="1:33">
      <c r="A295" s="64" t="str">
        <f>IF(C295="","",VLOOKUP('OPĆI DIO'!$C$3,'OPĆI DIO'!$L$6:$U$138,10,FALSE))</f>
        <v/>
      </c>
      <c r="B295" s="64" t="str">
        <f>IF(C295="","",VLOOKUP('OPĆI DIO'!$C$3,'OPĆI DIO'!$L$6:$U$138,9,FALSE))</f>
        <v/>
      </c>
      <c r="C295" s="69"/>
      <c r="D295" s="64" t="str">
        <f t="shared" si="47"/>
        <v/>
      </c>
      <c r="E295" s="69"/>
      <c r="F295" s="64" t="str">
        <f t="shared" si="50"/>
        <v/>
      </c>
      <c r="G295" s="102"/>
      <c r="H295" s="64" t="str">
        <f t="shared" si="48"/>
        <v/>
      </c>
      <c r="I295" s="64" t="str">
        <f t="shared" si="49"/>
        <v/>
      </c>
      <c r="J295" s="101"/>
      <c r="K295" s="101"/>
      <c r="L295" s="101"/>
      <c r="M295" s="68"/>
      <c r="O295" t="str">
        <f t="shared" si="43"/>
        <v/>
      </c>
      <c r="P295" t="str">
        <f t="shared" si="44"/>
        <v/>
      </c>
      <c r="Q295" t="str">
        <f t="shared" si="45"/>
        <v/>
      </c>
      <c r="R295" t="str">
        <f t="shared" si="46"/>
        <v/>
      </c>
      <c r="AB295" t="s">
        <v>1346</v>
      </c>
      <c r="AC295" t="s">
        <v>1347</v>
      </c>
      <c r="AD295" t="s">
        <v>1043</v>
      </c>
      <c r="AE295" t="s">
        <v>1044</v>
      </c>
      <c r="AF295" t="s">
        <v>644</v>
      </c>
      <c r="AG295" t="s">
        <v>1045</v>
      </c>
    </row>
    <row r="296" spans="1:33">
      <c r="A296" s="64" t="str">
        <f>IF(C296="","",VLOOKUP('OPĆI DIO'!$C$3,'OPĆI DIO'!$L$6:$U$138,10,FALSE))</f>
        <v/>
      </c>
      <c r="B296" s="64" t="str">
        <f>IF(C296="","",VLOOKUP('OPĆI DIO'!$C$3,'OPĆI DIO'!$L$6:$U$138,9,FALSE))</f>
        <v/>
      </c>
      <c r="C296" s="69"/>
      <c r="D296" s="64" t="str">
        <f t="shared" si="47"/>
        <v/>
      </c>
      <c r="E296" s="69"/>
      <c r="F296" s="64" t="str">
        <f t="shared" si="50"/>
        <v/>
      </c>
      <c r="G296" s="102"/>
      <c r="H296" s="64" t="str">
        <f t="shared" si="48"/>
        <v/>
      </c>
      <c r="I296" s="64" t="str">
        <f t="shared" si="49"/>
        <v/>
      </c>
      <c r="J296" s="101"/>
      <c r="K296" s="101"/>
      <c r="L296" s="101"/>
      <c r="M296" s="68"/>
      <c r="O296" t="str">
        <f t="shared" si="43"/>
        <v/>
      </c>
      <c r="P296" t="str">
        <f t="shared" si="44"/>
        <v/>
      </c>
      <c r="Q296" t="str">
        <f t="shared" si="45"/>
        <v/>
      </c>
      <c r="R296" t="str">
        <f t="shared" si="46"/>
        <v/>
      </c>
      <c r="AB296" t="s">
        <v>1346</v>
      </c>
      <c r="AC296" t="s">
        <v>1347</v>
      </c>
      <c r="AD296" t="s">
        <v>657</v>
      </c>
      <c r="AE296" t="s">
        <v>658</v>
      </c>
      <c r="AF296" t="s">
        <v>644</v>
      </c>
      <c r="AG296" t="s">
        <v>659</v>
      </c>
    </row>
    <row r="297" spans="1:33">
      <c r="A297" s="64" t="str">
        <f>IF(C297="","",VLOOKUP('OPĆI DIO'!$C$3,'OPĆI DIO'!$L$6:$U$138,10,FALSE))</f>
        <v/>
      </c>
      <c r="B297" s="64" t="str">
        <f>IF(C297="","",VLOOKUP('OPĆI DIO'!$C$3,'OPĆI DIO'!$L$6:$U$138,9,FALSE))</f>
        <v/>
      </c>
      <c r="C297" s="69"/>
      <c r="D297" s="64" t="str">
        <f t="shared" si="47"/>
        <v/>
      </c>
      <c r="E297" s="69"/>
      <c r="F297" s="64" t="str">
        <f t="shared" si="50"/>
        <v/>
      </c>
      <c r="G297" s="102"/>
      <c r="H297" s="64" t="str">
        <f t="shared" si="48"/>
        <v/>
      </c>
      <c r="I297" s="64" t="str">
        <f t="shared" si="49"/>
        <v/>
      </c>
      <c r="J297" s="101"/>
      <c r="K297" s="101"/>
      <c r="L297" s="101"/>
      <c r="M297" s="68"/>
      <c r="O297" t="str">
        <f t="shared" si="43"/>
        <v/>
      </c>
      <c r="P297" t="str">
        <f t="shared" si="44"/>
        <v/>
      </c>
      <c r="Q297" t="str">
        <f t="shared" si="45"/>
        <v/>
      </c>
      <c r="R297" t="str">
        <f t="shared" si="46"/>
        <v/>
      </c>
      <c r="AB297" t="s">
        <v>1348</v>
      </c>
      <c r="AC297" t="s">
        <v>1349</v>
      </c>
      <c r="AD297" t="s">
        <v>657</v>
      </c>
      <c r="AE297" t="s">
        <v>658</v>
      </c>
      <c r="AF297" t="s">
        <v>644</v>
      </c>
      <c r="AG297" t="s">
        <v>659</v>
      </c>
    </row>
    <row r="298" spans="1:33">
      <c r="A298" s="64" t="str">
        <f>IF(C298="","",VLOOKUP('OPĆI DIO'!$C$3,'OPĆI DIO'!$L$6:$U$138,10,FALSE))</f>
        <v/>
      </c>
      <c r="B298" s="64" t="str">
        <f>IF(C298="","",VLOOKUP('OPĆI DIO'!$C$3,'OPĆI DIO'!$L$6:$U$138,9,FALSE))</f>
        <v/>
      </c>
      <c r="C298" s="69"/>
      <c r="D298" s="64" t="str">
        <f t="shared" si="47"/>
        <v/>
      </c>
      <c r="E298" s="69"/>
      <c r="F298" s="64" t="str">
        <f t="shared" si="50"/>
        <v/>
      </c>
      <c r="G298" s="102"/>
      <c r="H298" s="64" t="str">
        <f t="shared" si="48"/>
        <v/>
      </c>
      <c r="I298" s="64" t="str">
        <f t="shared" si="49"/>
        <v/>
      </c>
      <c r="J298" s="101"/>
      <c r="K298" s="101"/>
      <c r="L298" s="101"/>
      <c r="M298" s="68"/>
      <c r="O298" t="str">
        <f t="shared" si="43"/>
        <v/>
      </c>
      <c r="P298" t="str">
        <f t="shared" si="44"/>
        <v/>
      </c>
      <c r="Q298" t="str">
        <f t="shared" si="45"/>
        <v/>
      </c>
      <c r="R298" t="str">
        <f t="shared" si="46"/>
        <v/>
      </c>
      <c r="AB298" t="s">
        <v>1350</v>
      </c>
      <c r="AC298" t="s">
        <v>1351</v>
      </c>
      <c r="AD298" t="s">
        <v>657</v>
      </c>
      <c r="AE298" t="s">
        <v>658</v>
      </c>
      <c r="AF298" t="s">
        <v>644</v>
      </c>
      <c r="AG298" t="s">
        <v>659</v>
      </c>
    </row>
    <row r="299" spans="1:33">
      <c r="A299" s="64" t="str">
        <f>IF(C299="","",VLOOKUP('OPĆI DIO'!$C$3,'OPĆI DIO'!$L$6:$U$138,10,FALSE))</f>
        <v/>
      </c>
      <c r="B299" s="64" t="str">
        <f>IF(C299="","",VLOOKUP('OPĆI DIO'!$C$3,'OPĆI DIO'!$L$6:$U$138,9,FALSE))</f>
        <v/>
      </c>
      <c r="C299" s="69"/>
      <c r="D299" s="64" t="str">
        <f t="shared" si="47"/>
        <v/>
      </c>
      <c r="E299" s="69"/>
      <c r="F299" s="64" t="str">
        <f t="shared" si="50"/>
        <v/>
      </c>
      <c r="G299" s="102"/>
      <c r="H299" s="64" t="str">
        <f t="shared" si="48"/>
        <v/>
      </c>
      <c r="I299" s="64" t="str">
        <f t="shared" si="49"/>
        <v/>
      </c>
      <c r="J299" s="101"/>
      <c r="K299" s="101"/>
      <c r="L299" s="101"/>
      <c r="M299" s="68"/>
      <c r="O299" t="str">
        <f t="shared" si="43"/>
        <v/>
      </c>
      <c r="P299" t="str">
        <f t="shared" si="44"/>
        <v/>
      </c>
      <c r="Q299" t="str">
        <f t="shared" si="45"/>
        <v/>
      </c>
      <c r="R299" t="str">
        <f t="shared" si="46"/>
        <v/>
      </c>
      <c r="AB299" t="s">
        <v>1352</v>
      </c>
      <c r="AC299" t="s">
        <v>1353</v>
      </c>
      <c r="AD299" t="s">
        <v>657</v>
      </c>
      <c r="AE299" t="s">
        <v>658</v>
      </c>
      <c r="AF299" t="s">
        <v>644</v>
      </c>
      <c r="AG299" t="s">
        <v>659</v>
      </c>
    </row>
    <row r="300" spans="1:33">
      <c r="A300" s="64" t="str">
        <f>IF(C300="","",VLOOKUP('OPĆI DIO'!$C$3,'OPĆI DIO'!$L$6:$U$138,10,FALSE))</f>
        <v/>
      </c>
      <c r="B300" s="64" t="str">
        <f>IF(C300="","",VLOOKUP('OPĆI DIO'!$C$3,'OPĆI DIO'!$L$6:$U$138,9,FALSE))</f>
        <v/>
      </c>
      <c r="C300" s="69"/>
      <c r="D300" s="64" t="str">
        <f t="shared" si="47"/>
        <v/>
      </c>
      <c r="E300" s="69"/>
      <c r="F300" s="64" t="str">
        <f t="shared" si="50"/>
        <v/>
      </c>
      <c r="G300" s="102"/>
      <c r="H300" s="64" t="str">
        <f t="shared" si="48"/>
        <v/>
      </c>
      <c r="I300" s="64" t="str">
        <f t="shared" si="49"/>
        <v/>
      </c>
      <c r="J300" s="101"/>
      <c r="K300" s="101"/>
      <c r="L300" s="101"/>
      <c r="M300" s="68"/>
      <c r="O300" t="str">
        <f t="shared" si="43"/>
        <v/>
      </c>
      <c r="P300" t="str">
        <f t="shared" si="44"/>
        <v/>
      </c>
      <c r="Q300" t="str">
        <f t="shared" si="45"/>
        <v/>
      </c>
      <c r="R300" t="str">
        <f t="shared" si="46"/>
        <v/>
      </c>
      <c r="AB300" t="s">
        <v>1354</v>
      </c>
      <c r="AC300" t="s">
        <v>1355</v>
      </c>
      <c r="AD300" t="s">
        <v>657</v>
      </c>
      <c r="AE300" t="s">
        <v>658</v>
      </c>
      <c r="AF300" t="s">
        <v>644</v>
      </c>
      <c r="AG300" t="s">
        <v>659</v>
      </c>
    </row>
    <row r="301" spans="1:33">
      <c r="A301" s="64" t="str">
        <f>IF(C301="","",VLOOKUP('OPĆI DIO'!$C$3,'OPĆI DIO'!$L$6:$U$138,10,FALSE))</f>
        <v/>
      </c>
      <c r="B301" s="64" t="str">
        <f>IF(C301="","",VLOOKUP('OPĆI DIO'!$C$3,'OPĆI DIO'!$L$6:$U$138,9,FALSE))</f>
        <v/>
      </c>
      <c r="C301" s="69"/>
      <c r="D301" s="64" t="str">
        <f t="shared" si="47"/>
        <v/>
      </c>
      <c r="E301" s="69"/>
      <c r="F301" s="64" t="str">
        <f t="shared" si="50"/>
        <v/>
      </c>
      <c r="G301" s="102"/>
      <c r="H301" s="64" t="str">
        <f t="shared" si="48"/>
        <v/>
      </c>
      <c r="I301" s="64" t="str">
        <f t="shared" si="49"/>
        <v/>
      </c>
      <c r="J301" s="101"/>
      <c r="K301" s="101"/>
      <c r="L301" s="101"/>
      <c r="M301" s="68"/>
      <c r="O301" t="str">
        <f t="shared" si="43"/>
        <v/>
      </c>
      <c r="P301" t="str">
        <f t="shared" si="44"/>
        <v/>
      </c>
      <c r="Q301" t="str">
        <f t="shared" si="45"/>
        <v/>
      </c>
      <c r="R301" t="str">
        <f t="shared" si="46"/>
        <v/>
      </c>
      <c r="AB301" t="s">
        <v>1356</v>
      </c>
      <c r="AC301" t="s">
        <v>793</v>
      </c>
      <c r="AD301" t="s">
        <v>657</v>
      </c>
      <c r="AE301" t="s">
        <v>658</v>
      </c>
      <c r="AF301" t="s">
        <v>644</v>
      </c>
      <c r="AG301" t="s">
        <v>659</v>
      </c>
    </row>
    <row r="302" spans="1:33">
      <c r="A302" s="64" t="str">
        <f>IF(C302="","",VLOOKUP('OPĆI DIO'!$C$3,'OPĆI DIO'!$L$6:$U$138,10,FALSE))</f>
        <v/>
      </c>
      <c r="B302" s="64" t="str">
        <f>IF(C302="","",VLOOKUP('OPĆI DIO'!$C$3,'OPĆI DIO'!$L$6:$U$138,9,FALSE))</f>
        <v/>
      </c>
      <c r="C302" s="69"/>
      <c r="D302" s="64" t="str">
        <f t="shared" si="47"/>
        <v/>
      </c>
      <c r="E302" s="69"/>
      <c r="F302" s="64" t="str">
        <f t="shared" si="50"/>
        <v/>
      </c>
      <c r="G302" s="102"/>
      <c r="H302" s="64" t="str">
        <f t="shared" si="48"/>
        <v/>
      </c>
      <c r="I302" s="64" t="str">
        <f t="shared" si="49"/>
        <v/>
      </c>
      <c r="J302" s="101"/>
      <c r="K302" s="101"/>
      <c r="L302" s="101"/>
      <c r="M302" s="68"/>
      <c r="O302" t="str">
        <f t="shared" si="43"/>
        <v/>
      </c>
      <c r="P302" t="str">
        <f t="shared" si="44"/>
        <v/>
      </c>
      <c r="Q302" t="str">
        <f t="shared" si="45"/>
        <v/>
      </c>
      <c r="R302" t="str">
        <f t="shared" si="46"/>
        <v/>
      </c>
      <c r="AB302" t="s">
        <v>1357</v>
      </c>
      <c r="AC302" t="s">
        <v>1358</v>
      </c>
      <c r="AD302" t="s">
        <v>657</v>
      </c>
      <c r="AE302" t="s">
        <v>658</v>
      </c>
      <c r="AF302" t="s">
        <v>644</v>
      </c>
      <c r="AG302" t="s">
        <v>659</v>
      </c>
    </row>
    <row r="303" spans="1:33">
      <c r="A303" s="64" t="str">
        <f>IF(C303="","",VLOOKUP('OPĆI DIO'!$C$3,'OPĆI DIO'!$L$6:$U$138,10,FALSE))</f>
        <v/>
      </c>
      <c r="B303" s="64" t="str">
        <f>IF(C303="","",VLOOKUP('OPĆI DIO'!$C$3,'OPĆI DIO'!$L$6:$U$138,9,FALSE))</f>
        <v/>
      </c>
      <c r="C303" s="69"/>
      <c r="D303" s="64" t="str">
        <f t="shared" si="47"/>
        <v/>
      </c>
      <c r="E303" s="69"/>
      <c r="F303" s="64" t="str">
        <f t="shared" si="50"/>
        <v/>
      </c>
      <c r="G303" s="102"/>
      <c r="H303" s="64" t="str">
        <f t="shared" si="48"/>
        <v/>
      </c>
      <c r="I303" s="64" t="str">
        <f t="shared" si="49"/>
        <v/>
      </c>
      <c r="J303" s="101"/>
      <c r="K303" s="101"/>
      <c r="L303" s="101"/>
      <c r="M303" s="68"/>
      <c r="O303" t="str">
        <f t="shared" si="43"/>
        <v/>
      </c>
      <c r="P303" t="str">
        <f t="shared" si="44"/>
        <v/>
      </c>
      <c r="Q303" t="str">
        <f t="shared" si="45"/>
        <v/>
      </c>
      <c r="R303" t="str">
        <f t="shared" si="46"/>
        <v/>
      </c>
      <c r="AB303" t="s">
        <v>1359</v>
      </c>
      <c r="AC303" t="s">
        <v>1360</v>
      </c>
      <c r="AD303" t="s">
        <v>657</v>
      </c>
      <c r="AE303" t="s">
        <v>658</v>
      </c>
      <c r="AF303" t="s">
        <v>644</v>
      </c>
      <c r="AG303" t="s">
        <v>659</v>
      </c>
    </row>
    <row r="304" spans="1:33">
      <c r="A304" s="64" t="str">
        <f>IF(C304="","",VLOOKUP('OPĆI DIO'!$C$3,'OPĆI DIO'!$L$6:$U$138,10,FALSE))</f>
        <v/>
      </c>
      <c r="B304" s="64" t="str">
        <f>IF(C304="","",VLOOKUP('OPĆI DIO'!$C$3,'OPĆI DIO'!$L$6:$U$138,9,FALSE))</f>
        <v/>
      </c>
      <c r="C304" s="69"/>
      <c r="D304" s="64" t="str">
        <f t="shared" si="47"/>
        <v/>
      </c>
      <c r="E304" s="69"/>
      <c r="F304" s="64" t="str">
        <f t="shared" si="50"/>
        <v/>
      </c>
      <c r="G304" s="102"/>
      <c r="H304" s="64" t="str">
        <f t="shared" si="48"/>
        <v/>
      </c>
      <c r="I304" s="64" t="str">
        <f t="shared" si="49"/>
        <v/>
      </c>
      <c r="J304" s="101"/>
      <c r="K304" s="101"/>
      <c r="L304" s="101"/>
      <c r="M304" s="68"/>
      <c r="O304" t="str">
        <f t="shared" si="43"/>
        <v/>
      </c>
      <c r="P304" t="str">
        <f t="shared" si="44"/>
        <v/>
      </c>
      <c r="Q304" t="str">
        <f t="shared" si="45"/>
        <v/>
      </c>
      <c r="R304" t="str">
        <f t="shared" si="46"/>
        <v/>
      </c>
      <c r="AB304" t="s">
        <v>1361</v>
      </c>
      <c r="AC304" t="s">
        <v>1362</v>
      </c>
      <c r="AD304" t="s">
        <v>1043</v>
      </c>
      <c r="AE304" t="s">
        <v>1044</v>
      </c>
      <c r="AF304" t="s">
        <v>644</v>
      </c>
      <c r="AG304" t="s">
        <v>1045</v>
      </c>
    </row>
    <row r="305" spans="1:33">
      <c r="A305" s="64" t="str">
        <f>IF(C305="","",VLOOKUP('OPĆI DIO'!$C$3,'OPĆI DIO'!$L$6:$U$138,10,FALSE))</f>
        <v/>
      </c>
      <c r="B305" s="64" t="str">
        <f>IF(C305="","",VLOOKUP('OPĆI DIO'!$C$3,'OPĆI DIO'!$L$6:$U$138,9,FALSE))</f>
        <v/>
      </c>
      <c r="C305" s="69"/>
      <c r="D305" s="64" t="str">
        <f t="shared" si="47"/>
        <v/>
      </c>
      <c r="E305" s="69"/>
      <c r="F305" s="64" t="str">
        <f t="shared" si="50"/>
        <v/>
      </c>
      <c r="G305" s="102"/>
      <c r="H305" s="64" t="str">
        <f t="shared" si="48"/>
        <v/>
      </c>
      <c r="I305" s="64" t="str">
        <f t="shared" si="49"/>
        <v/>
      </c>
      <c r="J305" s="101"/>
      <c r="K305" s="101"/>
      <c r="L305" s="101"/>
      <c r="M305" s="68"/>
      <c r="O305" t="str">
        <f t="shared" si="43"/>
        <v/>
      </c>
      <c r="P305" t="str">
        <f t="shared" si="44"/>
        <v/>
      </c>
      <c r="Q305" t="str">
        <f t="shared" si="45"/>
        <v/>
      </c>
      <c r="R305" t="str">
        <f t="shared" si="46"/>
        <v/>
      </c>
      <c r="AB305" t="s">
        <v>1361</v>
      </c>
      <c r="AC305" t="s">
        <v>1362</v>
      </c>
      <c r="AD305" t="s">
        <v>657</v>
      </c>
      <c r="AE305" t="s">
        <v>658</v>
      </c>
      <c r="AF305" t="s">
        <v>644</v>
      </c>
      <c r="AG305" t="s">
        <v>659</v>
      </c>
    </row>
    <row r="306" spans="1:33">
      <c r="A306" s="64" t="str">
        <f>IF(C306="","",VLOOKUP('OPĆI DIO'!$C$3,'OPĆI DIO'!$L$6:$U$138,10,FALSE))</f>
        <v/>
      </c>
      <c r="B306" s="64" t="str">
        <f>IF(C306="","",VLOOKUP('OPĆI DIO'!$C$3,'OPĆI DIO'!$L$6:$U$138,9,FALSE))</f>
        <v/>
      </c>
      <c r="C306" s="69"/>
      <c r="D306" s="64" t="str">
        <f t="shared" si="47"/>
        <v/>
      </c>
      <c r="E306" s="69"/>
      <c r="F306" s="64" t="str">
        <f t="shared" si="50"/>
        <v/>
      </c>
      <c r="G306" s="102"/>
      <c r="H306" s="64" t="str">
        <f t="shared" si="48"/>
        <v/>
      </c>
      <c r="I306" s="64" t="str">
        <f t="shared" si="49"/>
        <v/>
      </c>
      <c r="J306" s="101"/>
      <c r="K306" s="101"/>
      <c r="L306" s="101"/>
      <c r="M306" s="68"/>
      <c r="O306" t="str">
        <f t="shared" si="43"/>
        <v/>
      </c>
      <c r="P306" t="str">
        <f t="shared" si="44"/>
        <v/>
      </c>
      <c r="Q306" t="str">
        <f t="shared" si="45"/>
        <v/>
      </c>
      <c r="R306" t="str">
        <f t="shared" si="46"/>
        <v/>
      </c>
      <c r="AB306" t="s">
        <v>1363</v>
      </c>
      <c r="AC306" t="s">
        <v>1364</v>
      </c>
      <c r="AD306" t="s">
        <v>657</v>
      </c>
      <c r="AE306" t="s">
        <v>658</v>
      </c>
      <c r="AF306" t="s">
        <v>644</v>
      </c>
      <c r="AG306" t="s">
        <v>659</v>
      </c>
    </row>
    <row r="307" spans="1:33">
      <c r="A307" s="64" t="str">
        <f>IF(C307="","",VLOOKUP('OPĆI DIO'!$C$3,'OPĆI DIO'!$L$6:$U$138,10,FALSE))</f>
        <v/>
      </c>
      <c r="B307" s="64" t="str">
        <f>IF(C307="","",VLOOKUP('OPĆI DIO'!$C$3,'OPĆI DIO'!$L$6:$U$138,9,FALSE))</f>
        <v/>
      </c>
      <c r="C307" s="69"/>
      <c r="D307" s="64" t="str">
        <f t="shared" si="47"/>
        <v/>
      </c>
      <c r="E307" s="69"/>
      <c r="F307" s="64" t="str">
        <f t="shared" si="50"/>
        <v/>
      </c>
      <c r="G307" s="102"/>
      <c r="H307" s="64" t="str">
        <f t="shared" si="48"/>
        <v/>
      </c>
      <c r="I307" s="64" t="str">
        <f t="shared" si="49"/>
        <v/>
      </c>
      <c r="J307" s="101"/>
      <c r="K307" s="101"/>
      <c r="L307" s="101"/>
      <c r="M307" s="68"/>
      <c r="O307" t="str">
        <f t="shared" si="43"/>
        <v/>
      </c>
      <c r="P307" t="str">
        <f t="shared" si="44"/>
        <v/>
      </c>
      <c r="Q307" t="str">
        <f t="shared" si="45"/>
        <v/>
      </c>
      <c r="R307" t="str">
        <f t="shared" si="46"/>
        <v/>
      </c>
      <c r="AB307" t="s">
        <v>1365</v>
      </c>
      <c r="AC307" t="s">
        <v>1366</v>
      </c>
      <c r="AD307" t="s">
        <v>657</v>
      </c>
      <c r="AE307" t="s">
        <v>658</v>
      </c>
      <c r="AF307" t="s">
        <v>644</v>
      </c>
      <c r="AG307" t="s">
        <v>659</v>
      </c>
    </row>
    <row r="308" spans="1:33">
      <c r="A308" s="64" t="str">
        <f>IF(C308="","",VLOOKUP('OPĆI DIO'!$C$3,'OPĆI DIO'!$L$6:$U$138,10,FALSE))</f>
        <v/>
      </c>
      <c r="B308" s="64" t="str">
        <f>IF(C308="","",VLOOKUP('OPĆI DIO'!$C$3,'OPĆI DIO'!$L$6:$U$138,9,FALSE))</f>
        <v/>
      </c>
      <c r="C308" s="69"/>
      <c r="D308" s="64" t="str">
        <f t="shared" si="47"/>
        <v/>
      </c>
      <c r="E308" s="69"/>
      <c r="F308" s="64" t="str">
        <f t="shared" si="50"/>
        <v/>
      </c>
      <c r="G308" s="102"/>
      <c r="H308" s="64" t="str">
        <f t="shared" si="48"/>
        <v/>
      </c>
      <c r="I308" s="64" t="str">
        <f t="shared" si="49"/>
        <v/>
      </c>
      <c r="J308" s="101"/>
      <c r="K308" s="101"/>
      <c r="L308" s="101"/>
      <c r="M308" s="68"/>
      <c r="O308" t="str">
        <f t="shared" si="43"/>
        <v/>
      </c>
      <c r="P308" t="str">
        <f t="shared" si="44"/>
        <v/>
      </c>
      <c r="Q308" t="str">
        <f t="shared" si="45"/>
        <v/>
      </c>
      <c r="R308" t="str">
        <f t="shared" si="46"/>
        <v/>
      </c>
      <c r="AB308" t="s">
        <v>1367</v>
      </c>
      <c r="AC308" t="s">
        <v>1368</v>
      </c>
      <c r="AD308" t="s">
        <v>657</v>
      </c>
      <c r="AE308" t="s">
        <v>658</v>
      </c>
      <c r="AF308" t="s">
        <v>644</v>
      </c>
      <c r="AG308" t="s">
        <v>659</v>
      </c>
    </row>
    <row r="309" spans="1:33">
      <c r="A309" s="64" t="str">
        <f>IF(C309="","",VLOOKUP('OPĆI DIO'!$C$3,'OPĆI DIO'!$L$6:$U$138,10,FALSE))</f>
        <v/>
      </c>
      <c r="B309" s="64" t="str">
        <f>IF(C309="","",VLOOKUP('OPĆI DIO'!$C$3,'OPĆI DIO'!$L$6:$U$138,9,FALSE))</f>
        <v/>
      </c>
      <c r="C309" s="69"/>
      <c r="D309" s="64" t="str">
        <f t="shared" si="47"/>
        <v/>
      </c>
      <c r="E309" s="69"/>
      <c r="F309" s="64" t="str">
        <f t="shared" si="50"/>
        <v/>
      </c>
      <c r="G309" s="102"/>
      <c r="H309" s="64" t="str">
        <f t="shared" si="48"/>
        <v/>
      </c>
      <c r="I309" s="64" t="str">
        <f t="shared" si="49"/>
        <v/>
      </c>
      <c r="J309" s="101"/>
      <c r="K309" s="101"/>
      <c r="L309" s="101"/>
      <c r="M309" s="68"/>
      <c r="O309" t="str">
        <f t="shared" si="43"/>
        <v/>
      </c>
      <c r="P309" t="str">
        <f t="shared" si="44"/>
        <v/>
      </c>
      <c r="Q309" t="str">
        <f t="shared" si="45"/>
        <v/>
      </c>
      <c r="R309" t="str">
        <f t="shared" si="46"/>
        <v/>
      </c>
      <c r="AB309" t="s">
        <v>1369</v>
      </c>
      <c r="AC309" t="s">
        <v>1370</v>
      </c>
      <c r="AD309" t="s">
        <v>657</v>
      </c>
      <c r="AE309" t="s">
        <v>658</v>
      </c>
      <c r="AF309" t="s">
        <v>644</v>
      </c>
      <c r="AG309" t="s">
        <v>659</v>
      </c>
    </row>
    <row r="310" spans="1:33">
      <c r="A310" s="64" t="str">
        <f>IF(C310="","",VLOOKUP('OPĆI DIO'!$C$3,'OPĆI DIO'!$L$6:$U$138,10,FALSE))</f>
        <v/>
      </c>
      <c r="B310" s="64" t="str">
        <f>IF(C310="","",VLOOKUP('OPĆI DIO'!$C$3,'OPĆI DIO'!$L$6:$U$138,9,FALSE))</f>
        <v/>
      </c>
      <c r="C310" s="69"/>
      <c r="D310" s="64" t="str">
        <f t="shared" si="47"/>
        <v/>
      </c>
      <c r="E310" s="69"/>
      <c r="F310" s="64" t="str">
        <f t="shared" si="50"/>
        <v/>
      </c>
      <c r="G310" s="102"/>
      <c r="H310" s="64" t="str">
        <f t="shared" si="48"/>
        <v/>
      </c>
      <c r="I310" s="64" t="str">
        <f t="shared" si="49"/>
        <v/>
      </c>
      <c r="J310" s="101"/>
      <c r="K310" s="101"/>
      <c r="L310" s="101"/>
      <c r="M310" s="68"/>
      <c r="O310" t="str">
        <f t="shared" si="43"/>
        <v/>
      </c>
      <c r="P310" t="str">
        <f t="shared" si="44"/>
        <v/>
      </c>
      <c r="Q310" t="str">
        <f t="shared" si="45"/>
        <v/>
      </c>
      <c r="R310" t="str">
        <f t="shared" si="46"/>
        <v/>
      </c>
      <c r="AB310" t="s">
        <v>1371</v>
      </c>
      <c r="AC310" t="s">
        <v>1372</v>
      </c>
      <c r="AD310" t="s">
        <v>657</v>
      </c>
      <c r="AE310" t="s">
        <v>658</v>
      </c>
      <c r="AF310" t="s">
        <v>644</v>
      </c>
      <c r="AG310" t="s">
        <v>659</v>
      </c>
    </row>
    <row r="311" spans="1:33">
      <c r="A311" s="64" t="str">
        <f>IF(C311="","",VLOOKUP('OPĆI DIO'!$C$3,'OPĆI DIO'!$L$6:$U$138,10,FALSE))</f>
        <v/>
      </c>
      <c r="B311" s="64" t="str">
        <f>IF(C311="","",VLOOKUP('OPĆI DIO'!$C$3,'OPĆI DIO'!$L$6:$U$138,9,FALSE))</f>
        <v/>
      </c>
      <c r="C311" s="69"/>
      <c r="D311" s="64" t="str">
        <f t="shared" si="47"/>
        <v/>
      </c>
      <c r="E311" s="69"/>
      <c r="F311" s="64" t="str">
        <f t="shared" si="50"/>
        <v/>
      </c>
      <c r="G311" s="102"/>
      <c r="H311" s="64" t="str">
        <f t="shared" si="48"/>
        <v/>
      </c>
      <c r="I311" s="64" t="str">
        <f t="shared" si="49"/>
        <v/>
      </c>
      <c r="J311" s="101"/>
      <c r="K311" s="101"/>
      <c r="L311" s="101"/>
      <c r="M311" s="68"/>
      <c r="O311" t="str">
        <f t="shared" si="43"/>
        <v/>
      </c>
      <c r="P311" t="str">
        <f t="shared" si="44"/>
        <v/>
      </c>
      <c r="Q311" t="str">
        <f t="shared" si="45"/>
        <v/>
      </c>
      <c r="R311" t="str">
        <f t="shared" si="46"/>
        <v/>
      </c>
      <c r="AB311" t="s">
        <v>1373</v>
      </c>
      <c r="AC311" t="s">
        <v>1374</v>
      </c>
      <c r="AD311" t="s">
        <v>657</v>
      </c>
      <c r="AE311" t="s">
        <v>658</v>
      </c>
      <c r="AF311" t="s">
        <v>644</v>
      </c>
      <c r="AG311" t="s">
        <v>659</v>
      </c>
    </row>
    <row r="312" spans="1:33">
      <c r="A312" s="64" t="str">
        <f>IF(C312="","",VLOOKUP('OPĆI DIO'!$C$3,'OPĆI DIO'!$L$6:$U$138,10,FALSE))</f>
        <v/>
      </c>
      <c r="B312" s="64" t="str">
        <f>IF(C312="","",VLOOKUP('OPĆI DIO'!$C$3,'OPĆI DIO'!$L$6:$U$138,9,FALSE))</f>
        <v/>
      </c>
      <c r="C312" s="69"/>
      <c r="D312" s="64" t="str">
        <f t="shared" si="47"/>
        <v/>
      </c>
      <c r="E312" s="69"/>
      <c r="F312" s="64" t="str">
        <f t="shared" si="50"/>
        <v/>
      </c>
      <c r="G312" s="102"/>
      <c r="H312" s="64" t="str">
        <f t="shared" si="48"/>
        <v/>
      </c>
      <c r="I312" s="64" t="str">
        <f t="shared" si="49"/>
        <v/>
      </c>
      <c r="J312" s="101"/>
      <c r="K312" s="101"/>
      <c r="L312" s="101"/>
      <c r="M312" s="68"/>
      <c r="O312" t="str">
        <f t="shared" si="43"/>
        <v/>
      </c>
      <c r="P312" t="str">
        <f t="shared" si="44"/>
        <v/>
      </c>
      <c r="Q312" t="str">
        <f t="shared" si="45"/>
        <v/>
      </c>
      <c r="R312" t="str">
        <f t="shared" si="46"/>
        <v/>
      </c>
      <c r="AB312" t="s">
        <v>1375</v>
      </c>
      <c r="AC312" t="s">
        <v>1142</v>
      </c>
      <c r="AD312" t="s">
        <v>1043</v>
      </c>
      <c r="AE312" t="s">
        <v>1044</v>
      </c>
      <c r="AF312" t="s">
        <v>644</v>
      </c>
      <c r="AG312" t="s">
        <v>1045</v>
      </c>
    </row>
    <row r="313" spans="1:33">
      <c r="A313" s="64" t="str">
        <f>IF(C313="","",VLOOKUP('OPĆI DIO'!$C$3,'OPĆI DIO'!$L$6:$U$138,10,FALSE))</f>
        <v/>
      </c>
      <c r="B313" s="64" t="str">
        <f>IF(C313="","",VLOOKUP('OPĆI DIO'!$C$3,'OPĆI DIO'!$L$6:$U$138,9,FALSE))</f>
        <v/>
      </c>
      <c r="C313" s="69"/>
      <c r="D313" s="64" t="str">
        <f t="shared" si="47"/>
        <v/>
      </c>
      <c r="E313" s="69"/>
      <c r="F313" s="64" t="str">
        <f t="shared" si="50"/>
        <v/>
      </c>
      <c r="G313" s="102"/>
      <c r="H313" s="64" t="str">
        <f t="shared" si="48"/>
        <v/>
      </c>
      <c r="I313" s="64" t="str">
        <f t="shared" si="49"/>
        <v/>
      </c>
      <c r="J313" s="101"/>
      <c r="K313" s="101"/>
      <c r="L313" s="101"/>
      <c r="M313" s="68"/>
      <c r="O313" t="str">
        <f t="shared" si="43"/>
        <v/>
      </c>
      <c r="P313" t="str">
        <f t="shared" si="44"/>
        <v/>
      </c>
      <c r="Q313" t="str">
        <f t="shared" si="45"/>
        <v/>
      </c>
      <c r="R313" t="str">
        <f t="shared" si="46"/>
        <v/>
      </c>
      <c r="AB313" t="s">
        <v>1376</v>
      </c>
      <c r="AC313" t="s">
        <v>1377</v>
      </c>
      <c r="AD313" t="s">
        <v>1043</v>
      </c>
      <c r="AE313" t="s">
        <v>1044</v>
      </c>
      <c r="AF313" t="s">
        <v>644</v>
      </c>
      <c r="AG313" t="s">
        <v>1045</v>
      </c>
    </row>
    <row r="314" spans="1:33">
      <c r="A314" s="64" t="str">
        <f>IF(C314="","",VLOOKUP('OPĆI DIO'!$C$3,'OPĆI DIO'!$L$6:$U$138,10,FALSE))</f>
        <v/>
      </c>
      <c r="B314" s="64" t="str">
        <f>IF(C314="","",VLOOKUP('OPĆI DIO'!$C$3,'OPĆI DIO'!$L$6:$U$138,9,FALSE))</f>
        <v/>
      </c>
      <c r="C314" s="69"/>
      <c r="D314" s="64" t="str">
        <f t="shared" si="47"/>
        <v/>
      </c>
      <c r="E314" s="69"/>
      <c r="F314" s="64" t="str">
        <f t="shared" si="50"/>
        <v/>
      </c>
      <c r="G314" s="102"/>
      <c r="H314" s="64" t="str">
        <f t="shared" si="48"/>
        <v/>
      </c>
      <c r="I314" s="64" t="str">
        <f t="shared" si="49"/>
        <v/>
      </c>
      <c r="J314" s="101"/>
      <c r="K314" s="101"/>
      <c r="L314" s="101"/>
      <c r="M314" s="68"/>
      <c r="O314" t="str">
        <f t="shared" si="43"/>
        <v/>
      </c>
      <c r="P314" t="str">
        <f t="shared" si="44"/>
        <v/>
      </c>
      <c r="Q314" t="str">
        <f t="shared" si="45"/>
        <v/>
      </c>
      <c r="R314" t="str">
        <f t="shared" si="46"/>
        <v/>
      </c>
      <c r="AB314" t="s">
        <v>647</v>
      </c>
      <c r="AC314" t="s">
        <v>648</v>
      </c>
      <c r="AD314" t="s">
        <v>649</v>
      </c>
      <c r="AE314" t="s">
        <v>650</v>
      </c>
      <c r="AF314" t="s">
        <v>651</v>
      </c>
      <c r="AG314" t="s">
        <v>652</v>
      </c>
    </row>
    <row r="315" spans="1:33">
      <c r="A315" s="64" t="str">
        <f>IF(C315="","",VLOOKUP('OPĆI DIO'!$C$3,'OPĆI DIO'!$L$6:$U$138,10,FALSE))</f>
        <v/>
      </c>
      <c r="B315" s="64" t="str">
        <f>IF(C315="","",VLOOKUP('OPĆI DIO'!$C$3,'OPĆI DIO'!$L$6:$U$138,9,FALSE))</f>
        <v/>
      </c>
      <c r="C315" s="69"/>
      <c r="D315" s="64" t="str">
        <f t="shared" si="47"/>
        <v/>
      </c>
      <c r="E315" s="69"/>
      <c r="F315" s="64" t="str">
        <f t="shared" si="50"/>
        <v/>
      </c>
      <c r="G315" s="102"/>
      <c r="H315" s="64" t="str">
        <f t="shared" si="48"/>
        <v/>
      </c>
      <c r="I315" s="64" t="str">
        <f t="shared" si="49"/>
        <v/>
      </c>
      <c r="J315" s="101"/>
      <c r="K315" s="101"/>
      <c r="L315" s="101"/>
      <c r="M315" s="68"/>
      <c r="O315" t="str">
        <f t="shared" si="43"/>
        <v/>
      </c>
      <c r="P315" t="str">
        <f t="shared" si="44"/>
        <v/>
      </c>
      <c r="Q315" t="str">
        <f t="shared" si="45"/>
        <v/>
      </c>
      <c r="R315" t="str">
        <f t="shared" si="46"/>
        <v/>
      </c>
      <c r="AB315" t="s">
        <v>740</v>
      </c>
      <c r="AC315" t="s">
        <v>741</v>
      </c>
      <c r="AD315" t="s">
        <v>649</v>
      </c>
      <c r="AE315" t="s">
        <v>650</v>
      </c>
      <c r="AF315" t="s">
        <v>651</v>
      </c>
      <c r="AG315" t="s">
        <v>652</v>
      </c>
    </row>
    <row r="316" spans="1:33">
      <c r="A316" s="64" t="str">
        <f>IF(C316="","",VLOOKUP('OPĆI DIO'!$C$3,'OPĆI DIO'!$L$6:$U$138,10,FALSE))</f>
        <v/>
      </c>
      <c r="B316" s="64" t="str">
        <f>IF(C316="","",VLOOKUP('OPĆI DIO'!$C$3,'OPĆI DIO'!$L$6:$U$138,9,FALSE))</f>
        <v/>
      </c>
      <c r="C316" s="69"/>
      <c r="D316" s="64" t="str">
        <f t="shared" si="47"/>
        <v/>
      </c>
      <c r="E316" s="69"/>
      <c r="F316" s="64" t="str">
        <f t="shared" si="50"/>
        <v/>
      </c>
      <c r="G316" s="102"/>
      <c r="H316" s="64" t="str">
        <f t="shared" si="48"/>
        <v/>
      </c>
      <c r="I316" s="64" t="str">
        <f t="shared" si="49"/>
        <v/>
      </c>
      <c r="J316" s="101"/>
      <c r="K316" s="101"/>
      <c r="L316" s="101"/>
      <c r="M316" s="68"/>
      <c r="O316" t="str">
        <f t="shared" si="43"/>
        <v/>
      </c>
      <c r="P316" t="str">
        <f t="shared" si="44"/>
        <v/>
      </c>
      <c r="Q316" t="str">
        <f t="shared" si="45"/>
        <v/>
      </c>
      <c r="R316" t="str">
        <f t="shared" si="46"/>
        <v/>
      </c>
      <c r="AB316" t="s">
        <v>1378</v>
      </c>
      <c r="AC316" t="s">
        <v>1379</v>
      </c>
      <c r="AD316" t="s">
        <v>649</v>
      </c>
      <c r="AE316" t="s">
        <v>650</v>
      </c>
      <c r="AF316" t="s">
        <v>651</v>
      </c>
      <c r="AG316" t="s">
        <v>652</v>
      </c>
    </row>
    <row r="317" spans="1:33">
      <c r="A317" s="64" t="str">
        <f>IF(C317="","",VLOOKUP('OPĆI DIO'!$C$3,'OPĆI DIO'!$L$6:$U$138,10,FALSE))</f>
        <v/>
      </c>
      <c r="B317" s="64" t="str">
        <f>IF(C317="","",VLOOKUP('OPĆI DIO'!$C$3,'OPĆI DIO'!$L$6:$U$138,9,FALSE))</f>
        <v/>
      </c>
      <c r="C317" s="69"/>
      <c r="D317" s="64" t="str">
        <f t="shared" si="47"/>
        <v/>
      </c>
      <c r="E317" s="69"/>
      <c r="F317" s="64" t="str">
        <f t="shared" si="50"/>
        <v/>
      </c>
      <c r="G317" s="102"/>
      <c r="H317" s="64" t="str">
        <f t="shared" si="48"/>
        <v/>
      </c>
      <c r="I317" s="64" t="str">
        <f t="shared" si="49"/>
        <v/>
      </c>
      <c r="J317" s="101"/>
      <c r="K317" s="101"/>
      <c r="L317" s="101"/>
      <c r="M317" s="68"/>
      <c r="O317" t="str">
        <f t="shared" si="43"/>
        <v/>
      </c>
      <c r="P317" t="str">
        <f t="shared" si="44"/>
        <v/>
      </c>
      <c r="Q317" t="str">
        <f t="shared" si="45"/>
        <v/>
      </c>
      <c r="R317" t="str">
        <f t="shared" si="46"/>
        <v/>
      </c>
      <c r="AB317" t="s">
        <v>1380</v>
      </c>
      <c r="AC317" t="s">
        <v>1381</v>
      </c>
      <c r="AD317" t="s">
        <v>649</v>
      </c>
      <c r="AE317" t="s">
        <v>650</v>
      </c>
      <c r="AF317" t="s">
        <v>651</v>
      </c>
      <c r="AG317" t="s">
        <v>652</v>
      </c>
    </row>
    <row r="318" spans="1:33">
      <c r="A318" s="64" t="str">
        <f>IF(C318="","",VLOOKUP('OPĆI DIO'!$C$3,'OPĆI DIO'!$L$6:$U$138,10,FALSE))</f>
        <v/>
      </c>
      <c r="B318" s="64" t="str">
        <f>IF(C318="","",VLOOKUP('OPĆI DIO'!$C$3,'OPĆI DIO'!$L$6:$U$138,9,FALSE))</f>
        <v/>
      </c>
      <c r="C318" s="69"/>
      <c r="D318" s="64" t="str">
        <f t="shared" si="47"/>
        <v/>
      </c>
      <c r="E318" s="69"/>
      <c r="F318" s="64" t="str">
        <f t="shared" si="50"/>
        <v/>
      </c>
      <c r="G318" s="102"/>
      <c r="H318" s="64" t="str">
        <f t="shared" si="48"/>
        <v/>
      </c>
      <c r="I318" s="64" t="str">
        <f t="shared" si="49"/>
        <v/>
      </c>
      <c r="J318" s="101"/>
      <c r="K318" s="101"/>
      <c r="L318" s="101"/>
      <c r="M318" s="68"/>
      <c r="O318" t="str">
        <f t="shared" si="43"/>
        <v/>
      </c>
      <c r="P318" t="str">
        <f t="shared" si="44"/>
        <v/>
      </c>
      <c r="Q318" t="str">
        <f t="shared" si="45"/>
        <v/>
      </c>
      <c r="R318" t="str">
        <f t="shared" si="46"/>
        <v/>
      </c>
      <c r="AB318" t="s">
        <v>1382</v>
      </c>
      <c r="AC318" t="s">
        <v>1383</v>
      </c>
      <c r="AD318" t="s">
        <v>649</v>
      </c>
      <c r="AE318" t="s">
        <v>650</v>
      </c>
      <c r="AF318" t="s">
        <v>651</v>
      </c>
      <c r="AG318" t="s">
        <v>652</v>
      </c>
    </row>
    <row r="319" spans="1:33">
      <c r="A319" s="64" t="str">
        <f>IF(C319="","",VLOOKUP('OPĆI DIO'!$C$3,'OPĆI DIO'!$L$6:$U$138,10,FALSE))</f>
        <v/>
      </c>
      <c r="B319" s="64" t="str">
        <f>IF(C319="","",VLOOKUP('OPĆI DIO'!$C$3,'OPĆI DIO'!$L$6:$U$138,9,FALSE))</f>
        <v/>
      </c>
      <c r="C319" s="69"/>
      <c r="D319" s="64" t="str">
        <f t="shared" si="47"/>
        <v/>
      </c>
      <c r="E319" s="69"/>
      <c r="F319" s="64" t="str">
        <f t="shared" si="50"/>
        <v/>
      </c>
      <c r="G319" s="102"/>
      <c r="H319" s="64" t="str">
        <f t="shared" si="48"/>
        <v/>
      </c>
      <c r="I319" s="64" t="str">
        <f t="shared" si="49"/>
        <v/>
      </c>
      <c r="J319" s="101"/>
      <c r="K319" s="101"/>
      <c r="L319" s="101"/>
      <c r="M319" s="68"/>
      <c r="O319" t="str">
        <f t="shared" si="43"/>
        <v/>
      </c>
      <c r="P319" t="str">
        <f t="shared" si="44"/>
        <v/>
      </c>
      <c r="Q319" t="str">
        <f t="shared" si="45"/>
        <v/>
      </c>
      <c r="R319" t="str">
        <f t="shared" si="46"/>
        <v/>
      </c>
      <c r="AB319" t="s">
        <v>832</v>
      </c>
      <c r="AC319" t="s">
        <v>833</v>
      </c>
      <c r="AD319" t="s">
        <v>649</v>
      </c>
      <c r="AE319" t="s">
        <v>650</v>
      </c>
      <c r="AF319" t="s">
        <v>651</v>
      </c>
      <c r="AG319" t="s">
        <v>652</v>
      </c>
    </row>
    <row r="320" spans="1:33">
      <c r="A320" s="64" t="str">
        <f>IF(C320="","",VLOOKUP('OPĆI DIO'!$C$3,'OPĆI DIO'!$L$6:$U$138,10,FALSE))</f>
        <v/>
      </c>
      <c r="B320" s="64" t="str">
        <f>IF(C320="","",VLOOKUP('OPĆI DIO'!$C$3,'OPĆI DIO'!$L$6:$U$138,9,FALSE))</f>
        <v/>
      </c>
      <c r="C320" s="69"/>
      <c r="D320" s="64" t="str">
        <f t="shared" si="47"/>
        <v/>
      </c>
      <c r="E320" s="69"/>
      <c r="F320" s="64" t="str">
        <f t="shared" si="50"/>
        <v/>
      </c>
      <c r="G320" s="102"/>
      <c r="H320" s="64" t="str">
        <f t="shared" si="48"/>
        <v/>
      </c>
      <c r="I320" s="64" t="str">
        <f t="shared" si="49"/>
        <v/>
      </c>
      <c r="J320" s="101"/>
      <c r="K320" s="101"/>
      <c r="L320" s="101"/>
      <c r="M320" s="68"/>
      <c r="O320" t="str">
        <f t="shared" si="43"/>
        <v/>
      </c>
      <c r="P320" t="str">
        <f t="shared" si="44"/>
        <v/>
      </c>
      <c r="Q320" t="str">
        <f t="shared" si="45"/>
        <v/>
      </c>
      <c r="R320" t="str">
        <f t="shared" si="46"/>
        <v/>
      </c>
      <c r="AB320" t="s">
        <v>914</v>
      </c>
      <c r="AC320" t="s">
        <v>915</v>
      </c>
      <c r="AD320" t="s">
        <v>649</v>
      </c>
      <c r="AE320" t="s">
        <v>650</v>
      </c>
      <c r="AF320" t="s">
        <v>651</v>
      </c>
      <c r="AG320" t="s">
        <v>652</v>
      </c>
    </row>
    <row r="321" spans="1:33">
      <c r="A321" s="64" t="str">
        <f>IF(C321="","",VLOOKUP('OPĆI DIO'!$C$3,'OPĆI DIO'!$L$6:$U$138,10,FALSE))</f>
        <v/>
      </c>
      <c r="B321" s="64" t="str">
        <f>IF(C321="","",VLOOKUP('OPĆI DIO'!$C$3,'OPĆI DIO'!$L$6:$U$138,9,FALSE))</f>
        <v/>
      </c>
      <c r="C321" s="69"/>
      <c r="D321" s="64" t="str">
        <f t="shared" si="47"/>
        <v/>
      </c>
      <c r="E321" s="69"/>
      <c r="F321" s="64" t="str">
        <f t="shared" si="50"/>
        <v/>
      </c>
      <c r="G321" s="102"/>
      <c r="H321" s="64" t="str">
        <f t="shared" si="48"/>
        <v/>
      </c>
      <c r="I321" s="64" t="str">
        <f t="shared" si="49"/>
        <v/>
      </c>
      <c r="J321" s="101"/>
      <c r="K321" s="101"/>
      <c r="L321" s="101"/>
      <c r="M321" s="68"/>
      <c r="O321" t="str">
        <f t="shared" ref="O321:O384" si="51">LEFT(E321,3)</f>
        <v/>
      </c>
      <c r="P321" t="str">
        <f t="shared" ref="P321:P384" si="52">LEFT(E321,2)</f>
        <v/>
      </c>
      <c r="Q321" t="str">
        <f t="shared" ref="Q321:Q384" si="53">LEFT(C321,3)</f>
        <v/>
      </c>
      <c r="R321" t="str">
        <f t="shared" ref="R321:R384" si="54">MID(I321,2,2)</f>
        <v/>
      </c>
      <c r="AB321" t="s">
        <v>1384</v>
      </c>
      <c r="AC321" t="s">
        <v>1385</v>
      </c>
      <c r="AD321" t="s">
        <v>649</v>
      </c>
      <c r="AE321" t="s">
        <v>650</v>
      </c>
      <c r="AF321" t="s">
        <v>651</v>
      </c>
      <c r="AG321" t="s">
        <v>652</v>
      </c>
    </row>
    <row r="322" spans="1:33">
      <c r="A322" s="64" t="str">
        <f>IF(C322="","",VLOOKUP('OPĆI DIO'!$C$3,'OPĆI DIO'!$L$6:$U$138,10,FALSE))</f>
        <v/>
      </c>
      <c r="B322" s="64" t="str">
        <f>IF(C322="","",VLOOKUP('OPĆI DIO'!$C$3,'OPĆI DIO'!$L$6:$U$138,9,FALSE))</f>
        <v/>
      </c>
      <c r="C322" s="69"/>
      <c r="D322" s="64" t="str">
        <f t="shared" si="47"/>
        <v/>
      </c>
      <c r="E322" s="69"/>
      <c r="F322" s="64" t="str">
        <f t="shared" si="50"/>
        <v/>
      </c>
      <c r="G322" s="102"/>
      <c r="H322" s="64" t="str">
        <f t="shared" si="48"/>
        <v/>
      </c>
      <c r="I322" s="64" t="str">
        <f t="shared" si="49"/>
        <v/>
      </c>
      <c r="J322" s="101"/>
      <c r="K322" s="101"/>
      <c r="L322" s="101"/>
      <c r="M322" s="68"/>
      <c r="O322" t="str">
        <f t="shared" si="51"/>
        <v/>
      </c>
      <c r="P322" t="str">
        <f t="shared" si="52"/>
        <v/>
      </c>
      <c r="Q322" t="str">
        <f t="shared" si="53"/>
        <v/>
      </c>
      <c r="R322" t="str">
        <f t="shared" si="54"/>
        <v/>
      </c>
      <c r="AB322" t="s">
        <v>1386</v>
      </c>
      <c r="AC322" t="s">
        <v>1387</v>
      </c>
      <c r="AD322" t="s">
        <v>649</v>
      </c>
      <c r="AE322" t="s">
        <v>650</v>
      </c>
      <c r="AF322" t="s">
        <v>651</v>
      </c>
      <c r="AG322" t="s">
        <v>652</v>
      </c>
    </row>
    <row r="323" spans="1:33">
      <c r="A323" s="64" t="str">
        <f>IF(C323="","",VLOOKUP('OPĆI DIO'!$C$3,'OPĆI DIO'!$L$6:$U$138,10,FALSE))</f>
        <v/>
      </c>
      <c r="B323" s="64" t="str">
        <f>IF(C323="","",VLOOKUP('OPĆI DIO'!$C$3,'OPĆI DIO'!$L$6:$U$138,9,FALSE))</f>
        <v/>
      </c>
      <c r="C323" s="69"/>
      <c r="D323" s="64" t="str">
        <f t="shared" ref="D323:D386" si="55">IFERROR(VLOOKUP(C323,$S$6:$T$24,2,FALSE),"")</f>
        <v/>
      </c>
      <c r="E323" s="69"/>
      <c r="F323" s="64" t="str">
        <f t="shared" si="50"/>
        <v/>
      </c>
      <c r="G323" s="102"/>
      <c r="H323" s="64" t="str">
        <f t="shared" ref="H323:H386" si="56">IFERROR(VLOOKUP(G323,$AB$6:$AC$324,2,FALSE),"")</f>
        <v/>
      </c>
      <c r="I323" s="64" t="str">
        <f t="shared" ref="I323:I386" si="57">IFERROR(VLOOKUP(G323,$AB$6:$AF$324,3,FALSE),"")</f>
        <v/>
      </c>
      <c r="J323" s="101"/>
      <c r="K323" s="101"/>
      <c r="L323" s="101"/>
      <c r="M323" s="68"/>
      <c r="O323" t="str">
        <f t="shared" si="51"/>
        <v/>
      </c>
      <c r="P323" t="str">
        <f t="shared" si="52"/>
        <v/>
      </c>
      <c r="Q323" t="str">
        <f t="shared" si="53"/>
        <v/>
      </c>
      <c r="R323" t="str">
        <f t="shared" si="54"/>
        <v/>
      </c>
      <c r="AB323" t="s">
        <v>1388</v>
      </c>
      <c r="AC323" t="s">
        <v>1389</v>
      </c>
      <c r="AD323" t="s">
        <v>649</v>
      </c>
      <c r="AE323" t="s">
        <v>650</v>
      </c>
      <c r="AF323" t="s">
        <v>651</v>
      </c>
      <c r="AG323" t="s">
        <v>652</v>
      </c>
    </row>
    <row r="324" spans="1:33">
      <c r="A324" s="64" t="str">
        <f>IF(C324="","",VLOOKUP('OPĆI DIO'!$C$3,'OPĆI DIO'!$L$6:$U$138,10,FALSE))</f>
        <v/>
      </c>
      <c r="B324" s="64" t="str">
        <f>IF(C324="","",VLOOKUP('OPĆI DIO'!$C$3,'OPĆI DIO'!$L$6:$U$138,9,FALSE))</f>
        <v/>
      </c>
      <c r="C324" s="69"/>
      <c r="D324" s="64" t="str">
        <f t="shared" si="55"/>
        <v/>
      </c>
      <c r="E324" s="69"/>
      <c r="F324" s="64" t="str">
        <f t="shared" si="50"/>
        <v/>
      </c>
      <c r="G324" s="102"/>
      <c r="H324" s="64" t="str">
        <f t="shared" si="56"/>
        <v/>
      </c>
      <c r="I324" s="64" t="str">
        <f t="shared" si="57"/>
        <v/>
      </c>
      <c r="J324" s="101"/>
      <c r="K324" s="101"/>
      <c r="L324" s="101"/>
      <c r="M324" s="68"/>
      <c r="O324" t="str">
        <f t="shared" si="51"/>
        <v/>
      </c>
      <c r="P324" t="str">
        <f t="shared" si="52"/>
        <v/>
      </c>
      <c r="Q324" t="str">
        <f t="shared" si="53"/>
        <v/>
      </c>
      <c r="R324" t="str">
        <f t="shared" si="54"/>
        <v/>
      </c>
      <c r="AB324" t="s">
        <v>1390</v>
      </c>
      <c r="AC324" t="s">
        <v>1142</v>
      </c>
      <c r="AD324" t="s">
        <v>649</v>
      </c>
      <c r="AE324" t="s">
        <v>650</v>
      </c>
      <c r="AF324" t="s">
        <v>651</v>
      </c>
      <c r="AG324" t="s">
        <v>652</v>
      </c>
    </row>
    <row r="325" spans="1:33">
      <c r="A325" s="64" t="str">
        <f>IF(C325="","",VLOOKUP('OPĆI DIO'!$C$3,'OPĆI DIO'!$L$6:$U$138,10,FALSE))</f>
        <v/>
      </c>
      <c r="B325" s="64" t="str">
        <f>IF(C325="","",VLOOKUP('OPĆI DIO'!$C$3,'OPĆI DIO'!$L$6:$U$138,9,FALSE))</f>
        <v/>
      </c>
      <c r="C325" s="69"/>
      <c r="D325" s="64" t="str">
        <f t="shared" si="55"/>
        <v/>
      </c>
      <c r="E325" s="69"/>
      <c r="F325" s="64" t="str">
        <f t="shared" si="50"/>
        <v/>
      </c>
      <c r="G325" s="102"/>
      <c r="H325" s="64" t="str">
        <f t="shared" si="56"/>
        <v/>
      </c>
      <c r="I325" s="64" t="str">
        <f t="shared" si="57"/>
        <v/>
      </c>
      <c r="J325" s="101"/>
      <c r="K325" s="101"/>
      <c r="L325" s="101"/>
      <c r="M325" s="68"/>
      <c r="O325" t="str">
        <f t="shared" si="51"/>
        <v/>
      </c>
      <c r="P325" t="str">
        <f t="shared" si="52"/>
        <v/>
      </c>
      <c r="Q325" t="str">
        <f t="shared" si="53"/>
        <v/>
      </c>
      <c r="R325" t="str">
        <f t="shared" si="54"/>
        <v/>
      </c>
    </row>
    <row r="326" spans="1:33">
      <c r="A326" s="64" t="str">
        <f>IF(C326="","",VLOOKUP('OPĆI DIO'!$C$3,'OPĆI DIO'!$L$6:$U$138,10,FALSE))</f>
        <v/>
      </c>
      <c r="B326" s="64" t="str">
        <f>IF(C326="","",VLOOKUP('OPĆI DIO'!$C$3,'OPĆI DIO'!$L$6:$U$138,9,FALSE))</f>
        <v/>
      </c>
      <c r="C326" s="69"/>
      <c r="D326" s="64" t="str">
        <f t="shared" si="55"/>
        <v/>
      </c>
      <c r="E326" s="69"/>
      <c r="F326" s="64" t="str">
        <f t="shared" si="50"/>
        <v/>
      </c>
      <c r="G326" s="102"/>
      <c r="H326" s="64" t="str">
        <f t="shared" si="56"/>
        <v/>
      </c>
      <c r="I326" s="64" t="str">
        <f t="shared" si="57"/>
        <v/>
      </c>
      <c r="J326" s="101"/>
      <c r="K326" s="101"/>
      <c r="L326" s="101"/>
      <c r="M326" s="68"/>
      <c r="O326" t="str">
        <f t="shared" si="51"/>
        <v/>
      </c>
      <c r="P326" t="str">
        <f t="shared" si="52"/>
        <v/>
      </c>
      <c r="Q326" t="str">
        <f t="shared" si="53"/>
        <v/>
      </c>
      <c r="R326" t="str">
        <f t="shared" si="54"/>
        <v/>
      </c>
    </row>
    <row r="327" spans="1:33">
      <c r="A327" s="64" t="str">
        <f>IF(C327="","",VLOOKUP('OPĆI DIO'!$C$3,'OPĆI DIO'!$L$6:$U$138,10,FALSE))</f>
        <v/>
      </c>
      <c r="B327" s="64" t="str">
        <f>IF(C327="","",VLOOKUP('OPĆI DIO'!$C$3,'OPĆI DIO'!$L$6:$U$138,9,FALSE))</f>
        <v/>
      </c>
      <c r="C327" s="69"/>
      <c r="D327" s="64" t="str">
        <f t="shared" si="55"/>
        <v/>
      </c>
      <c r="E327" s="69"/>
      <c r="F327" s="64" t="str">
        <f t="shared" si="50"/>
        <v/>
      </c>
      <c r="G327" s="102"/>
      <c r="H327" s="64" t="str">
        <f t="shared" si="56"/>
        <v/>
      </c>
      <c r="I327" s="64" t="str">
        <f t="shared" si="57"/>
        <v/>
      </c>
      <c r="J327" s="101"/>
      <c r="K327" s="101"/>
      <c r="L327" s="101"/>
      <c r="M327" s="68"/>
      <c r="O327" t="str">
        <f t="shared" si="51"/>
        <v/>
      </c>
      <c r="P327" t="str">
        <f t="shared" si="52"/>
        <v/>
      </c>
      <c r="Q327" t="str">
        <f t="shared" si="53"/>
        <v/>
      </c>
      <c r="R327" t="str">
        <f t="shared" si="54"/>
        <v/>
      </c>
    </row>
    <row r="328" spans="1:33">
      <c r="A328" s="64" t="str">
        <f>IF(C328="","",VLOOKUP('OPĆI DIO'!$C$3,'OPĆI DIO'!$L$6:$U$138,10,FALSE))</f>
        <v/>
      </c>
      <c r="B328" s="64" t="str">
        <f>IF(C328="","",VLOOKUP('OPĆI DIO'!$C$3,'OPĆI DIO'!$L$6:$U$138,9,FALSE))</f>
        <v/>
      </c>
      <c r="C328" s="69"/>
      <c r="D328" s="64" t="str">
        <f t="shared" si="55"/>
        <v/>
      </c>
      <c r="E328" s="69"/>
      <c r="F328" s="64" t="str">
        <f t="shared" si="50"/>
        <v/>
      </c>
      <c r="G328" s="102"/>
      <c r="H328" s="64" t="str">
        <f t="shared" si="56"/>
        <v/>
      </c>
      <c r="I328" s="64" t="str">
        <f t="shared" si="57"/>
        <v/>
      </c>
      <c r="J328" s="101"/>
      <c r="K328" s="101"/>
      <c r="L328" s="101"/>
      <c r="M328" s="68"/>
      <c r="O328" t="str">
        <f t="shared" si="51"/>
        <v/>
      </c>
      <c r="P328" t="str">
        <f t="shared" si="52"/>
        <v/>
      </c>
      <c r="Q328" t="str">
        <f t="shared" si="53"/>
        <v/>
      </c>
      <c r="R328" t="str">
        <f t="shared" si="54"/>
        <v/>
      </c>
    </row>
    <row r="329" spans="1:33">
      <c r="A329" s="64" t="str">
        <f>IF(C329="","",VLOOKUP('OPĆI DIO'!$C$3,'OPĆI DIO'!$L$6:$U$138,10,FALSE))</f>
        <v/>
      </c>
      <c r="B329" s="64" t="str">
        <f>IF(C329="","",VLOOKUP('OPĆI DIO'!$C$3,'OPĆI DIO'!$L$6:$U$138,9,FALSE))</f>
        <v/>
      </c>
      <c r="C329" s="69"/>
      <c r="D329" s="64" t="str">
        <f t="shared" si="55"/>
        <v/>
      </c>
      <c r="E329" s="69"/>
      <c r="F329" s="64" t="str">
        <f t="shared" si="50"/>
        <v/>
      </c>
      <c r="G329" s="102"/>
      <c r="H329" s="64" t="str">
        <f t="shared" si="56"/>
        <v/>
      </c>
      <c r="I329" s="64" t="str">
        <f t="shared" si="57"/>
        <v/>
      </c>
      <c r="J329" s="101"/>
      <c r="K329" s="101"/>
      <c r="L329" s="101"/>
      <c r="M329" s="68"/>
      <c r="O329" t="str">
        <f t="shared" si="51"/>
        <v/>
      </c>
      <c r="P329" t="str">
        <f t="shared" si="52"/>
        <v/>
      </c>
      <c r="Q329" t="str">
        <f t="shared" si="53"/>
        <v/>
      </c>
      <c r="R329" t="str">
        <f t="shared" si="54"/>
        <v/>
      </c>
    </row>
    <row r="330" spans="1:33">
      <c r="A330" s="64" t="str">
        <f>IF(C330="","",VLOOKUP('OPĆI DIO'!$C$3,'OPĆI DIO'!$L$6:$U$138,10,FALSE))</f>
        <v/>
      </c>
      <c r="B330" s="64" t="str">
        <f>IF(C330="","",VLOOKUP('OPĆI DIO'!$C$3,'OPĆI DIO'!$L$6:$U$138,9,FALSE))</f>
        <v/>
      </c>
      <c r="C330" s="69"/>
      <c r="D330" s="64" t="str">
        <f t="shared" si="55"/>
        <v/>
      </c>
      <c r="E330" s="69"/>
      <c r="F330" s="64" t="str">
        <f t="shared" si="50"/>
        <v/>
      </c>
      <c r="G330" s="102"/>
      <c r="H330" s="64" t="str">
        <f t="shared" si="56"/>
        <v/>
      </c>
      <c r="I330" s="64" t="str">
        <f t="shared" si="57"/>
        <v/>
      </c>
      <c r="J330" s="101"/>
      <c r="K330" s="101"/>
      <c r="L330" s="101"/>
      <c r="M330" s="68"/>
      <c r="O330" t="str">
        <f t="shared" si="51"/>
        <v/>
      </c>
      <c r="P330" t="str">
        <f t="shared" si="52"/>
        <v/>
      </c>
      <c r="Q330" t="str">
        <f t="shared" si="53"/>
        <v/>
      </c>
      <c r="R330" t="str">
        <f t="shared" si="54"/>
        <v/>
      </c>
    </row>
    <row r="331" spans="1:33">
      <c r="A331" s="64" t="str">
        <f>IF(C331="","",VLOOKUP('OPĆI DIO'!$C$3,'OPĆI DIO'!$L$6:$U$138,10,FALSE))</f>
        <v/>
      </c>
      <c r="B331" s="64" t="str">
        <f>IF(C331="","",VLOOKUP('OPĆI DIO'!$C$3,'OPĆI DIO'!$L$6:$U$138,9,FALSE))</f>
        <v/>
      </c>
      <c r="C331" s="69"/>
      <c r="D331" s="64" t="str">
        <f t="shared" si="55"/>
        <v/>
      </c>
      <c r="E331" s="69"/>
      <c r="F331" s="64" t="str">
        <f t="shared" si="50"/>
        <v/>
      </c>
      <c r="G331" s="102"/>
      <c r="H331" s="64" t="str">
        <f t="shared" si="56"/>
        <v/>
      </c>
      <c r="I331" s="64" t="str">
        <f t="shared" si="57"/>
        <v/>
      </c>
      <c r="J331" s="101"/>
      <c r="K331" s="101"/>
      <c r="L331" s="101"/>
      <c r="M331" s="68"/>
      <c r="O331" t="str">
        <f t="shared" si="51"/>
        <v/>
      </c>
      <c r="P331" t="str">
        <f t="shared" si="52"/>
        <v/>
      </c>
      <c r="Q331" t="str">
        <f t="shared" si="53"/>
        <v/>
      </c>
      <c r="R331" t="str">
        <f t="shared" si="54"/>
        <v/>
      </c>
    </row>
    <row r="332" spans="1:33">
      <c r="A332" s="64" t="str">
        <f>IF(C332="","",VLOOKUP('OPĆI DIO'!$C$3,'OPĆI DIO'!$L$6:$U$138,10,FALSE))</f>
        <v/>
      </c>
      <c r="B332" s="64" t="str">
        <f>IF(C332="","",VLOOKUP('OPĆI DIO'!$C$3,'OPĆI DIO'!$L$6:$U$138,9,FALSE))</f>
        <v/>
      </c>
      <c r="C332" s="69"/>
      <c r="D332" s="64" t="str">
        <f t="shared" si="55"/>
        <v/>
      </c>
      <c r="E332" s="69"/>
      <c r="F332" s="64" t="str">
        <f t="shared" si="50"/>
        <v/>
      </c>
      <c r="G332" s="102"/>
      <c r="H332" s="64" t="str">
        <f t="shared" si="56"/>
        <v/>
      </c>
      <c r="I332" s="64" t="str">
        <f t="shared" si="57"/>
        <v/>
      </c>
      <c r="J332" s="101"/>
      <c r="K332" s="101"/>
      <c r="L332" s="101"/>
      <c r="M332" s="68"/>
      <c r="O332" t="str">
        <f t="shared" si="51"/>
        <v/>
      </c>
      <c r="P332" t="str">
        <f t="shared" si="52"/>
        <v/>
      </c>
      <c r="Q332" t="str">
        <f t="shared" si="53"/>
        <v/>
      </c>
      <c r="R332" t="str">
        <f t="shared" si="54"/>
        <v/>
      </c>
    </row>
    <row r="333" spans="1:33">
      <c r="A333" s="64" t="str">
        <f>IF(C333="","",VLOOKUP('OPĆI DIO'!$C$3,'OPĆI DIO'!$L$6:$U$138,10,FALSE))</f>
        <v/>
      </c>
      <c r="B333" s="64" t="str">
        <f>IF(C333="","",VLOOKUP('OPĆI DIO'!$C$3,'OPĆI DIO'!$L$6:$U$138,9,FALSE))</f>
        <v/>
      </c>
      <c r="C333" s="69"/>
      <c r="D333" s="64" t="str">
        <f t="shared" si="55"/>
        <v/>
      </c>
      <c r="E333" s="69"/>
      <c r="F333" s="64" t="str">
        <f t="shared" si="50"/>
        <v/>
      </c>
      <c r="G333" s="102"/>
      <c r="H333" s="64" t="str">
        <f t="shared" si="56"/>
        <v/>
      </c>
      <c r="I333" s="64" t="str">
        <f t="shared" si="57"/>
        <v/>
      </c>
      <c r="J333" s="101"/>
      <c r="K333" s="101"/>
      <c r="L333" s="101"/>
      <c r="M333" s="68"/>
      <c r="O333" t="str">
        <f t="shared" si="51"/>
        <v/>
      </c>
      <c r="P333" t="str">
        <f t="shared" si="52"/>
        <v/>
      </c>
      <c r="Q333" t="str">
        <f t="shared" si="53"/>
        <v/>
      </c>
      <c r="R333" t="str">
        <f t="shared" si="54"/>
        <v/>
      </c>
    </row>
    <row r="334" spans="1:33">
      <c r="A334" s="64" t="str">
        <f>IF(C334="","",VLOOKUP('OPĆI DIO'!$C$3,'OPĆI DIO'!$L$6:$U$138,10,FALSE))</f>
        <v/>
      </c>
      <c r="B334" s="64" t="str">
        <f>IF(C334="","",VLOOKUP('OPĆI DIO'!$C$3,'OPĆI DIO'!$L$6:$U$138,9,FALSE))</f>
        <v/>
      </c>
      <c r="C334" s="69"/>
      <c r="D334" s="64" t="str">
        <f t="shared" si="55"/>
        <v/>
      </c>
      <c r="E334" s="69"/>
      <c r="F334" s="64" t="str">
        <f t="shared" si="50"/>
        <v/>
      </c>
      <c r="G334" s="102"/>
      <c r="H334" s="64" t="str">
        <f t="shared" si="56"/>
        <v/>
      </c>
      <c r="I334" s="64" t="str">
        <f t="shared" si="57"/>
        <v/>
      </c>
      <c r="J334" s="101"/>
      <c r="K334" s="101"/>
      <c r="L334" s="101"/>
      <c r="M334" s="68"/>
      <c r="O334" t="str">
        <f t="shared" si="51"/>
        <v/>
      </c>
      <c r="P334" t="str">
        <f t="shared" si="52"/>
        <v/>
      </c>
      <c r="Q334" t="str">
        <f t="shared" si="53"/>
        <v/>
      </c>
      <c r="R334" t="str">
        <f t="shared" si="54"/>
        <v/>
      </c>
    </row>
    <row r="335" spans="1:33">
      <c r="A335" s="64" t="str">
        <f>IF(C335="","",VLOOKUP('OPĆI DIO'!$C$3,'OPĆI DIO'!$L$6:$U$138,10,FALSE))</f>
        <v/>
      </c>
      <c r="B335" s="64" t="str">
        <f>IF(C335="","",VLOOKUP('OPĆI DIO'!$C$3,'OPĆI DIO'!$L$6:$U$138,9,FALSE))</f>
        <v/>
      </c>
      <c r="C335" s="69"/>
      <c r="D335" s="64" t="str">
        <f t="shared" si="55"/>
        <v/>
      </c>
      <c r="E335" s="69"/>
      <c r="F335" s="64" t="str">
        <f t="shared" ref="F335:F398" si="58">IFERROR(VLOOKUP(E335,$V$5:$X$127,2,FALSE),"")</f>
        <v/>
      </c>
      <c r="G335" s="102"/>
      <c r="H335" s="64" t="str">
        <f t="shared" si="56"/>
        <v/>
      </c>
      <c r="I335" s="64" t="str">
        <f t="shared" si="57"/>
        <v/>
      </c>
      <c r="J335" s="101"/>
      <c r="K335" s="101"/>
      <c r="L335" s="101"/>
      <c r="M335" s="68"/>
      <c r="O335" t="str">
        <f t="shared" si="51"/>
        <v/>
      </c>
      <c r="P335" t="str">
        <f t="shared" si="52"/>
        <v/>
      </c>
      <c r="Q335" t="str">
        <f t="shared" si="53"/>
        <v/>
      </c>
      <c r="R335" t="str">
        <f t="shared" si="54"/>
        <v/>
      </c>
    </row>
    <row r="336" spans="1:33">
      <c r="A336" s="64" t="str">
        <f>IF(C336="","",VLOOKUP('OPĆI DIO'!$C$3,'OPĆI DIO'!$L$6:$U$138,10,FALSE))</f>
        <v/>
      </c>
      <c r="B336" s="64" t="str">
        <f>IF(C336="","",VLOOKUP('OPĆI DIO'!$C$3,'OPĆI DIO'!$L$6:$U$138,9,FALSE))</f>
        <v/>
      </c>
      <c r="C336" s="69"/>
      <c r="D336" s="64" t="str">
        <f t="shared" si="55"/>
        <v/>
      </c>
      <c r="E336" s="69"/>
      <c r="F336" s="64" t="str">
        <f t="shared" si="58"/>
        <v/>
      </c>
      <c r="G336" s="102"/>
      <c r="H336" s="64" t="str">
        <f t="shared" si="56"/>
        <v/>
      </c>
      <c r="I336" s="64" t="str">
        <f t="shared" si="57"/>
        <v/>
      </c>
      <c r="J336" s="101"/>
      <c r="K336" s="101"/>
      <c r="L336" s="101"/>
      <c r="M336" s="68"/>
      <c r="O336" t="str">
        <f t="shared" si="51"/>
        <v/>
      </c>
      <c r="P336" t="str">
        <f t="shared" si="52"/>
        <v/>
      </c>
      <c r="Q336" t="str">
        <f t="shared" si="53"/>
        <v/>
      </c>
      <c r="R336" t="str">
        <f t="shared" si="54"/>
        <v/>
      </c>
    </row>
    <row r="337" spans="1:18">
      <c r="A337" s="64" t="str">
        <f>IF(C337="","",VLOOKUP('OPĆI DIO'!$C$3,'OPĆI DIO'!$L$6:$U$138,10,FALSE))</f>
        <v/>
      </c>
      <c r="B337" s="64" t="str">
        <f>IF(C337="","",VLOOKUP('OPĆI DIO'!$C$3,'OPĆI DIO'!$L$6:$U$138,9,FALSE))</f>
        <v/>
      </c>
      <c r="C337" s="69"/>
      <c r="D337" s="64" t="str">
        <f t="shared" si="55"/>
        <v/>
      </c>
      <c r="E337" s="69"/>
      <c r="F337" s="64" t="str">
        <f t="shared" si="58"/>
        <v/>
      </c>
      <c r="G337" s="102"/>
      <c r="H337" s="64" t="str">
        <f t="shared" si="56"/>
        <v/>
      </c>
      <c r="I337" s="64" t="str">
        <f t="shared" si="57"/>
        <v/>
      </c>
      <c r="J337" s="101"/>
      <c r="K337" s="101"/>
      <c r="L337" s="101"/>
      <c r="M337" s="68"/>
      <c r="O337" t="str">
        <f t="shared" si="51"/>
        <v/>
      </c>
      <c r="P337" t="str">
        <f t="shared" si="52"/>
        <v/>
      </c>
      <c r="Q337" t="str">
        <f t="shared" si="53"/>
        <v/>
      </c>
      <c r="R337" t="str">
        <f t="shared" si="54"/>
        <v/>
      </c>
    </row>
    <row r="338" spans="1:18">
      <c r="A338" s="64" t="str">
        <f>IF(C338="","",VLOOKUP('OPĆI DIO'!$C$3,'OPĆI DIO'!$L$6:$U$138,10,FALSE))</f>
        <v/>
      </c>
      <c r="B338" s="64" t="str">
        <f>IF(C338="","",VLOOKUP('OPĆI DIO'!$C$3,'OPĆI DIO'!$L$6:$U$138,9,FALSE))</f>
        <v/>
      </c>
      <c r="C338" s="69"/>
      <c r="D338" s="64" t="str">
        <f t="shared" si="55"/>
        <v/>
      </c>
      <c r="E338" s="69"/>
      <c r="F338" s="64" t="str">
        <f t="shared" si="58"/>
        <v/>
      </c>
      <c r="G338" s="102"/>
      <c r="H338" s="64" t="str">
        <f t="shared" si="56"/>
        <v/>
      </c>
      <c r="I338" s="64" t="str">
        <f t="shared" si="57"/>
        <v/>
      </c>
      <c r="J338" s="101"/>
      <c r="K338" s="101"/>
      <c r="L338" s="101"/>
      <c r="M338" s="68"/>
      <c r="O338" t="str">
        <f t="shared" si="51"/>
        <v/>
      </c>
      <c r="P338" t="str">
        <f t="shared" si="52"/>
        <v/>
      </c>
      <c r="Q338" t="str">
        <f t="shared" si="53"/>
        <v/>
      </c>
      <c r="R338" t="str">
        <f t="shared" si="54"/>
        <v/>
      </c>
    </row>
    <row r="339" spans="1:18">
      <c r="A339" s="64" t="str">
        <f>IF(C339="","",VLOOKUP('OPĆI DIO'!$C$3,'OPĆI DIO'!$L$6:$U$138,10,FALSE))</f>
        <v/>
      </c>
      <c r="B339" s="64" t="str">
        <f>IF(C339="","",VLOOKUP('OPĆI DIO'!$C$3,'OPĆI DIO'!$L$6:$U$138,9,FALSE))</f>
        <v/>
      </c>
      <c r="C339" s="69"/>
      <c r="D339" s="64" t="str">
        <f t="shared" si="55"/>
        <v/>
      </c>
      <c r="E339" s="69"/>
      <c r="F339" s="64" t="str">
        <f t="shared" si="58"/>
        <v/>
      </c>
      <c r="G339" s="102"/>
      <c r="H339" s="64" t="str">
        <f t="shared" si="56"/>
        <v/>
      </c>
      <c r="I339" s="64" t="str">
        <f t="shared" si="57"/>
        <v/>
      </c>
      <c r="J339" s="101"/>
      <c r="K339" s="101"/>
      <c r="L339" s="101"/>
      <c r="M339" s="68"/>
      <c r="O339" t="str">
        <f t="shared" si="51"/>
        <v/>
      </c>
      <c r="P339" t="str">
        <f t="shared" si="52"/>
        <v/>
      </c>
      <c r="Q339" t="str">
        <f t="shared" si="53"/>
        <v/>
      </c>
      <c r="R339" t="str">
        <f t="shared" si="54"/>
        <v/>
      </c>
    </row>
    <row r="340" spans="1:18">
      <c r="A340" s="64" t="str">
        <f>IF(C340="","",VLOOKUP('OPĆI DIO'!$C$3,'OPĆI DIO'!$L$6:$U$138,10,FALSE))</f>
        <v/>
      </c>
      <c r="B340" s="64" t="str">
        <f>IF(C340="","",VLOOKUP('OPĆI DIO'!$C$3,'OPĆI DIO'!$L$6:$U$138,9,FALSE))</f>
        <v/>
      </c>
      <c r="C340" s="69"/>
      <c r="D340" s="64" t="str">
        <f t="shared" si="55"/>
        <v/>
      </c>
      <c r="E340" s="69"/>
      <c r="F340" s="64" t="str">
        <f t="shared" si="58"/>
        <v/>
      </c>
      <c r="G340" s="102"/>
      <c r="H340" s="64" t="str">
        <f t="shared" si="56"/>
        <v/>
      </c>
      <c r="I340" s="64" t="str">
        <f t="shared" si="57"/>
        <v/>
      </c>
      <c r="J340" s="101"/>
      <c r="K340" s="101"/>
      <c r="L340" s="101"/>
      <c r="M340" s="68"/>
      <c r="O340" t="str">
        <f t="shared" si="51"/>
        <v/>
      </c>
      <c r="P340" t="str">
        <f t="shared" si="52"/>
        <v/>
      </c>
      <c r="Q340" t="str">
        <f t="shared" si="53"/>
        <v/>
      </c>
      <c r="R340" t="str">
        <f t="shared" si="54"/>
        <v/>
      </c>
    </row>
    <row r="341" spans="1:18">
      <c r="A341" s="64" t="str">
        <f>IF(C341="","",VLOOKUP('OPĆI DIO'!$C$3,'OPĆI DIO'!$L$6:$U$138,10,FALSE))</f>
        <v/>
      </c>
      <c r="B341" s="64" t="str">
        <f>IF(C341="","",VLOOKUP('OPĆI DIO'!$C$3,'OPĆI DIO'!$L$6:$U$138,9,FALSE))</f>
        <v/>
      </c>
      <c r="C341" s="69"/>
      <c r="D341" s="64" t="str">
        <f t="shared" si="55"/>
        <v/>
      </c>
      <c r="E341" s="69"/>
      <c r="F341" s="64" t="str">
        <f t="shared" si="58"/>
        <v/>
      </c>
      <c r="G341" s="102"/>
      <c r="H341" s="64" t="str">
        <f t="shared" si="56"/>
        <v/>
      </c>
      <c r="I341" s="64" t="str">
        <f t="shared" si="57"/>
        <v/>
      </c>
      <c r="J341" s="101"/>
      <c r="K341" s="101"/>
      <c r="L341" s="101"/>
      <c r="M341" s="68"/>
      <c r="O341" t="str">
        <f t="shared" si="51"/>
        <v/>
      </c>
      <c r="P341" t="str">
        <f t="shared" si="52"/>
        <v/>
      </c>
      <c r="Q341" t="str">
        <f t="shared" si="53"/>
        <v/>
      </c>
      <c r="R341" t="str">
        <f t="shared" si="54"/>
        <v/>
      </c>
    </row>
    <row r="342" spans="1:18">
      <c r="A342" s="64" t="str">
        <f>IF(C342="","",VLOOKUP('OPĆI DIO'!$C$3,'OPĆI DIO'!$L$6:$U$138,10,FALSE))</f>
        <v/>
      </c>
      <c r="B342" s="64" t="str">
        <f>IF(C342="","",VLOOKUP('OPĆI DIO'!$C$3,'OPĆI DIO'!$L$6:$U$138,9,FALSE))</f>
        <v/>
      </c>
      <c r="C342" s="69"/>
      <c r="D342" s="64" t="str">
        <f t="shared" si="55"/>
        <v/>
      </c>
      <c r="E342" s="69"/>
      <c r="F342" s="64" t="str">
        <f t="shared" si="58"/>
        <v/>
      </c>
      <c r="G342" s="102"/>
      <c r="H342" s="64" t="str">
        <f t="shared" si="56"/>
        <v/>
      </c>
      <c r="I342" s="64" t="str">
        <f t="shared" si="57"/>
        <v/>
      </c>
      <c r="J342" s="101"/>
      <c r="K342" s="101"/>
      <c r="L342" s="101"/>
      <c r="M342" s="68"/>
      <c r="O342" t="str">
        <f t="shared" si="51"/>
        <v/>
      </c>
      <c r="P342" t="str">
        <f t="shared" si="52"/>
        <v/>
      </c>
      <c r="Q342" t="str">
        <f t="shared" si="53"/>
        <v/>
      </c>
      <c r="R342" t="str">
        <f t="shared" si="54"/>
        <v/>
      </c>
    </row>
    <row r="343" spans="1:18">
      <c r="A343" s="64" t="str">
        <f>IF(C343="","",VLOOKUP('OPĆI DIO'!$C$3,'OPĆI DIO'!$L$6:$U$138,10,FALSE))</f>
        <v/>
      </c>
      <c r="B343" s="64" t="str">
        <f>IF(C343="","",VLOOKUP('OPĆI DIO'!$C$3,'OPĆI DIO'!$L$6:$U$138,9,FALSE))</f>
        <v/>
      </c>
      <c r="C343" s="69"/>
      <c r="D343" s="64" t="str">
        <f t="shared" si="55"/>
        <v/>
      </c>
      <c r="E343" s="69"/>
      <c r="F343" s="64" t="str">
        <f t="shared" si="58"/>
        <v/>
      </c>
      <c r="G343" s="102"/>
      <c r="H343" s="64" t="str">
        <f t="shared" si="56"/>
        <v/>
      </c>
      <c r="I343" s="64" t="str">
        <f t="shared" si="57"/>
        <v/>
      </c>
      <c r="J343" s="101"/>
      <c r="K343" s="101"/>
      <c r="L343" s="101"/>
      <c r="M343" s="68"/>
      <c r="O343" t="str">
        <f t="shared" si="51"/>
        <v/>
      </c>
      <c r="P343" t="str">
        <f t="shared" si="52"/>
        <v/>
      </c>
      <c r="Q343" t="str">
        <f t="shared" si="53"/>
        <v/>
      </c>
      <c r="R343" t="str">
        <f t="shared" si="54"/>
        <v/>
      </c>
    </row>
    <row r="344" spans="1:18">
      <c r="A344" s="64" t="str">
        <f>IF(C344="","",VLOOKUP('OPĆI DIO'!$C$3,'OPĆI DIO'!$L$6:$U$138,10,FALSE))</f>
        <v/>
      </c>
      <c r="B344" s="64" t="str">
        <f>IF(C344="","",VLOOKUP('OPĆI DIO'!$C$3,'OPĆI DIO'!$L$6:$U$138,9,FALSE))</f>
        <v/>
      </c>
      <c r="C344" s="69"/>
      <c r="D344" s="64" t="str">
        <f t="shared" si="55"/>
        <v/>
      </c>
      <c r="E344" s="69"/>
      <c r="F344" s="64" t="str">
        <f t="shared" si="58"/>
        <v/>
      </c>
      <c r="G344" s="102"/>
      <c r="H344" s="64" t="str">
        <f t="shared" si="56"/>
        <v/>
      </c>
      <c r="I344" s="64" t="str">
        <f t="shared" si="57"/>
        <v/>
      </c>
      <c r="J344" s="101"/>
      <c r="K344" s="101"/>
      <c r="L344" s="101"/>
      <c r="M344" s="68"/>
      <c r="O344" t="str">
        <f t="shared" si="51"/>
        <v/>
      </c>
      <c r="P344" t="str">
        <f t="shared" si="52"/>
        <v/>
      </c>
      <c r="Q344" t="str">
        <f t="shared" si="53"/>
        <v/>
      </c>
      <c r="R344" t="str">
        <f t="shared" si="54"/>
        <v/>
      </c>
    </row>
    <row r="345" spans="1:18">
      <c r="A345" s="64" t="str">
        <f>IF(C345="","",VLOOKUP('OPĆI DIO'!$C$3,'OPĆI DIO'!$L$6:$U$138,10,FALSE))</f>
        <v/>
      </c>
      <c r="B345" s="64" t="str">
        <f>IF(C345="","",VLOOKUP('OPĆI DIO'!$C$3,'OPĆI DIO'!$L$6:$U$138,9,FALSE))</f>
        <v/>
      </c>
      <c r="C345" s="69"/>
      <c r="D345" s="64" t="str">
        <f t="shared" si="55"/>
        <v/>
      </c>
      <c r="E345" s="69"/>
      <c r="F345" s="64" t="str">
        <f t="shared" si="58"/>
        <v/>
      </c>
      <c r="G345" s="102"/>
      <c r="H345" s="64" t="str">
        <f t="shared" si="56"/>
        <v/>
      </c>
      <c r="I345" s="64" t="str">
        <f t="shared" si="57"/>
        <v/>
      </c>
      <c r="J345" s="101"/>
      <c r="K345" s="101"/>
      <c r="L345" s="101"/>
      <c r="M345" s="68"/>
      <c r="O345" t="str">
        <f t="shared" si="51"/>
        <v/>
      </c>
      <c r="P345" t="str">
        <f t="shared" si="52"/>
        <v/>
      </c>
      <c r="Q345" t="str">
        <f t="shared" si="53"/>
        <v/>
      </c>
      <c r="R345" t="str">
        <f t="shared" si="54"/>
        <v/>
      </c>
    </row>
    <row r="346" spans="1:18">
      <c r="A346" s="64" t="str">
        <f>IF(C346="","",VLOOKUP('OPĆI DIO'!$C$3,'OPĆI DIO'!$L$6:$U$138,10,FALSE))</f>
        <v/>
      </c>
      <c r="B346" s="64" t="str">
        <f>IF(C346="","",VLOOKUP('OPĆI DIO'!$C$3,'OPĆI DIO'!$L$6:$U$138,9,FALSE))</f>
        <v/>
      </c>
      <c r="C346" s="69"/>
      <c r="D346" s="64" t="str">
        <f t="shared" si="55"/>
        <v/>
      </c>
      <c r="E346" s="69"/>
      <c r="F346" s="64" t="str">
        <f t="shared" si="58"/>
        <v/>
      </c>
      <c r="G346" s="102"/>
      <c r="H346" s="64" t="str">
        <f t="shared" si="56"/>
        <v/>
      </c>
      <c r="I346" s="64" t="str">
        <f t="shared" si="57"/>
        <v/>
      </c>
      <c r="J346" s="101"/>
      <c r="K346" s="101"/>
      <c r="L346" s="101"/>
      <c r="M346" s="68"/>
      <c r="O346" t="str">
        <f t="shared" si="51"/>
        <v/>
      </c>
      <c r="P346" t="str">
        <f t="shared" si="52"/>
        <v/>
      </c>
      <c r="Q346" t="str">
        <f t="shared" si="53"/>
        <v/>
      </c>
      <c r="R346" t="str">
        <f t="shared" si="54"/>
        <v/>
      </c>
    </row>
    <row r="347" spans="1:18">
      <c r="A347" s="64" t="str">
        <f>IF(C347="","",VLOOKUP('OPĆI DIO'!$C$3,'OPĆI DIO'!$L$6:$U$138,10,FALSE))</f>
        <v/>
      </c>
      <c r="B347" s="64" t="str">
        <f>IF(C347="","",VLOOKUP('OPĆI DIO'!$C$3,'OPĆI DIO'!$L$6:$U$138,9,FALSE))</f>
        <v/>
      </c>
      <c r="C347" s="69"/>
      <c r="D347" s="64" t="str">
        <f t="shared" si="55"/>
        <v/>
      </c>
      <c r="E347" s="69"/>
      <c r="F347" s="64" t="str">
        <f t="shared" si="58"/>
        <v/>
      </c>
      <c r="G347" s="102"/>
      <c r="H347" s="64" t="str">
        <f t="shared" si="56"/>
        <v/>
      </c>
      <c r="I347" s="64" t="str">
        <f t="shared" si="57"/>
        <v/>
      </c>
      <c r="J347" s="101"/>
      <c r="K347" s="101"/>
      <c r="L347" s="101"/>
      <c r="M347" s="68"/>
      <c r="O347" t="str">
        <f t="shared" si="51"/>
        <v/>
      </c>
      <c r="P347" t="str">
        <f t="shared" si="52"/>
        <v/>
      </c>
      <c r="Q347" t="str">
        <f t="shared" si="53"/>
        <v/>
      </c>
      <c r="R347" t="str">
        <f t="shared" si="54"/>
        <v/>
      </c>
    </row>
    <row r="348" spans="1:18">
      <c r="A348" s="64" t="str">
        <f>IF(C348="","",VLOOKUP('OPĆI DIO'!$C$3,'OPĆI DIO'!$L$6:$U$138,10,FALSE))</f>
        <v/>
      </c>
      <c r="B348" s="64" t="str">
        <f>IF(C348="","",VLOOKUP('OPĆI DIO'!$C$3,'OPĆI DIO'!$L$6:$U$138,9,FALSE))</f>
        <v/>
      </c>
      <c r="C348" s="69"/>
      <c r="D348" s="64" t="str">
        <f t="shared" si="55"/>
        <v/>
      </c>
      <c r="E348" s="69"/>
      <c r="F348" s="64" t="str">
        <f t="shared" si="58"/>
        <v/>
      </c>
      <c r="G348" s="102"/>
      <c r="H348" s="64" t="str">
        <f t="shared" si="56"/>
        <v/>
      </c>
      <c r="I348" s="64" t="str">
        <f t="shared" si="57"/>
        <v/>
      </c>
      <c r="J348" s="101"/>
      <c r="K348" s="101"/>
      <c r="L348" s="101"/>
      <c r="M348" s="68"/>
      <c r="O348" t="str">
        <f t="shared" si="51"/>
        <v/>
      </c>
      <c r="P348" t="str">
        <f t="shared" si="52"/>
        <v/>
      </c>
      <c r="Q348" t="str">
        <f t="shared" si="53"/>
        <v/>
      </c>
      <c r="R348" t="str">
        <f t="shared" si="54"/>
        <v/>
      </c>
    </row>
    <row r="349" spans="1:18">
      <c r="A349" s="64" t="str">
        <f>IF(C349="","",VLOOKUP('OPĆI DIO'!$C$3,'OPĆI DIO'!$L$6:$U$138,10,FALSE))</f>
        <v/>
      </c>
      <c r="B349" s="64" t="str">
        <f>IF(C349="","",VLOOKUP('OPĆI DIO'!$C$3,'OPĆI DIO'!$L$6:$U$138,9,FALSE))</f>
        <v/>
      </c>
      <c r="C349" s="69"/>
      <c r="D349" s="64" t="str">
        <f t="shared" si="55"/>
        <v/>
      </c>
      <c r="E349" s="69"/>
      <c r="F349" s="64" t="str">
        <f t="shared" si="58"/>
        <v/>
      </c>
      <c r="G349" s="102"/>
      <c r="H349" s="64" t="str">
        <f t="shared" si="56"/>
        <v/>
      </c>
      <c r="I349" s="64" t="str">
        <f t="shared" si="57"/>
        <v/>
      </c>
      <c r="J349" s="101"/>
      <c r="K349" s="101"/>
      <c r="L349" s="101"/>
      <c r="M349" s="68"/>
      <c r="O349" t="str">
        <f t="shared" si="51"/>
        <v/>
      </c>
      <c r="P349" t="str">
        <f t="shared" si="52"/>
        <v/>
      </c>
      <c r="Q349" t="str">
        <f t="shared" si="53"/>
        <v/>
      </c>
      <c r="R349" t="str">
        <f t="shared" si="54"/>
        <v/>
      </c>
    </row>
    <row r="350" spans="1:18">
      <c r="A350" s="64" t="str">
        <f>IF(C350="","",VLOOKUP('OPĆI DIO'!$C$3,'OPĆI DIO'!$L$6:$U$138,10,FALSE))</f>
        <v/>
      </c>
      <c r="B350" s="64" t="str">
        <f>IF(C350="","",VLOOKUP('OPĆI DIO'!$C$3,'OPĆI DIO'!$L$6:$U$138,9,FALSE))</f>
        <v/>
      </c>
      <c r="C350" s="69"/>
      <c r="D350" s="64" t="str">
        <f t="shared" si="55"/>
        <v/>
      </c>
      <c r="E350" s="69"/>
      <c r="F350" s="64" t="str">
        <f t="shared" si="58"/>
        <v/>
      </c>
      <c r="G350" s="102"/>
      <c r="H350" s="64" t="str">
        <f t="shared" si="56"/>
        <v/>
      </c>
      <c r="I350" s="64" t="str">
        <f t="shared" si="57"/>
        <v/>
      </c>
      <c r="J350" s="101"/>
      <c r="K350" s="101"/>
      <c r="L350" s="101"/>
      <c r="M350" s="68"/>
      <c r="O350" t="str">
        <f t="shared" si="51"/>
        <v/>
      </c>
      <c r="P350" t="str">
        <f t="shared" si="52"/>
        <v/>
      </c>
      <c r="Q350" t="str">
        <f t="shared" si="53"/>
        <v/>
      </c>
      <c r="R350" t="str">
        <f t="shared" si="54"/>
        <v/>
      </c>
    </row>
    <row r="351" spans="1:18">
      <c r="A351" s="64" t="str">
        <f>IF(C351="","",VLOOKUP('OPĆI DIO'!$C$3,'OPĆI DIO'!$L$6:$U$138,10,FALSE))</f>
        <v/>
      </c>
      <c r="B351" s="64" t="str">
        <f>IF(C351="","",VLOOKUP('OPĆI DIO'!$C$3,'OPĆI DIO'!$L$6:$U$138,9,FALSE))</f>
        <v/>
      </c>
      <c r="C351" s="69"/>
      <c r="D351" s="64" t="str">
        <f t="shared" si="55"/>
        <v/>
      </c>
      <c r="E351" s="69"/>
      <c r="F351" s="64" t="str">
        <f t="shared" si="58"/>
        <v/>
      </c>
      <c r="G351" s="102"/>
      <c r="H351" s="64" t="str">
        <f t="shared" si="56"/>
        <v/>
      </c>
      <c r="I351" s="64" t="str">
        <f t="shared" si="57"/>
        <v/>
      </c>
      <c r="J351" s="101"/>
      <c r="K351" s="101"/>
      <c r="L351" s="101"/>
      <c r="M351" s="68"/>
      <c r="O351" t="str">
        <f t="shared" si="51"/>
        <v/>
      </c>
      <c r="P351" t="str">
        <f t="shared" si="52"/>
        <v/>
      </c>
      <c r="Q351" t="str">
        <f t="shared" si="53"/>
        <v/>
      </c>
      <c r="R351" t="str">
        <f t="shared" si="54"/>
        <v/>
      </c>
    </row>
    <row r="352" spans="1:18">
      <c r="A352" s="64" t="str">
        <f>IF(C352="","",VLOOKUP('OPĆI DIO'!$C$3,'OPĆI DIO'!$L$6:$U$138,10,FALSE))</f>
        <v/>
      </c>
      <c r="B352" s="64" t="str">
        <f>IF(C352="","",VLOOKUP('OPĆI DIO'!$C$3,'OPĆI DIO'!$L$6:$U$138,9,FALSE))</f>
        <v/>
      </c>
      <c r="C352" s="69"/>
      <c r="D352" s="64" t="str">
        <f t="shared" si="55"/>
        <v/>
      </c>
      <c r="E352" s="69"/>
      <c r="F352" s="64" t="str">
        <f t="shared" si="58"/>
        <v/>
      </c>
      <c r="G352" s="102"/>
      <c r="H352" s="64" t="str">
        <f t="shared" si="56"/>
        <v/>
      </c>
      <c r="I352" s="64" t="str">
        <f t="shared" si="57"/>
        <v/>
      </c>
      <c r="J352" s="101"/>
      <c r="K352" s="101"/>
      <c r="L352" s="101"/>
      <c r="M352" s="68"/>
      <c r="O352" t="str">
        <f t="shared" si="51"/>
        <v/>
      </c>
      <c r="P352" t="str">
        <f t="shared" si="52"/>
        <v/>
      </c>
      <c r="Q352" t="str">
        <f t="shared" si="53"/>
        <v/>
      </c>
      <c r="R352" t="str">
        <f t="shared" si="54"/>
        <v/>
      </c>
    </row>
    <row r="353" spans="1:18">
      <c r="A353" s="64" t="str">
        <f>IF(C353="","",VLOOKUP('OPĆI DIO'!$C$3,'OPĆI DIO'!$L$6:$U$138,10,FALSE))</f>
        <v/>
      </c>
      <c r="B353" s="64" t="str">
        <f>IF(C353="","",VLOOKUP('OPĆI DIO'!$C$3,'OPĆI DIO'!$L$6:$U$138,9,FALSE))</f>
        <v/>
      </c>
      <c r="C353" s="69"/>
      <c r="D353" s="64" t="str">
        <f t="shared" si="55"/>
        <v/>
      </c>
      <c r="E353" s="69"/>
      <c r="F353" s="64" t="str">
        <f t="shared" si="58"/>
        <v/>
      </c>
      <c r="G353" s="102"/>
      <c r="H353" s="64" t="str">
        <f t="shared" si="56"/>
        <v/>
      </c>
      <c r="I353" s="64" t="str">
        <f t="shared" si="57"/>
        <v/>
      </c>
      <c r="J353" s="101"/>
      <c r="K353" s="101"/>
      <c r="L353" s="101"/>
      <c r="M353" s="68"/>
      <c r="O353" t="str">
        <f t="shared" si="51"/>
        <v/>
      </c>
      <c r="P353" t="str">
        <f t="shared" si="52"/>
        <v/>
      </c>
      <c r="Q353" t="str">
        <f t="shared" si="53"/>
        <v/>
      </c>
      <c r="R353" t="str">
        <f t="shared" si="54"/>
        <v/>
      </c>
    </row>
    <row r="354" spans="1:18">
      <c r="A354" s="64" t="str">
        <f>IF(C354="","",VLOOKUP('OPĆI DIO'!$C$3,'OPĆI DIO'!$L$6:$U$138,10,FALSE))</f>
        <v/>
      </c>
      <c r="B354" s="64" t="str">
        <f>IF(C354="","",VLOOKUP('OPĆI DIO'!$C$3,'OPĆI DIO'!$L$6:$U$138,9,FALSE))</f>
        <v/>
      </c>
      <c r="C354" s="69"/>
      <c r="D354" s="64" t="str">
        <f t="shared" si="55"/>
        <v/>
      </c>
      <c r="E354" s="69"/>
      <c r="F354" s="64" t="str">
        <f t="shared" si="58"/>
        <v/>
      </c>
      <c r="G354" s="102"/>
      <c r="H354" s="64" t="str">
        <f t="shared" si="56"/>
        <v/>
      </c>
      <c r="I354" s="64" t="str">
        <f t="shared" si="57"/>
        <v/>
      </c>
      <c r="J354" s="101"/>
      <c r="K354" s="101"/>
      <c r="L354" s="101"/>
      <c r="M354" s="68"/>
      <c r="O354" t="str">
        <f t="shared" si="51"/>
        <v/>
      </c>
      <c r="P354" t="str">
        <f t="shared" si="52"/>
        <v/>
      </c>
      <c r="Q354" t="str">
        <f t="shared" si="53"/>
        <v/>
      </c>
      <c r="R354" t="str">
        <f t="shared" si="54"/>
        <v/>
      </c>
    </row>
    <row r="355" spans="1:18">
      <c r="A355" s="64" t="str">
        <f>IF(C355="","",VLOOKUP('OPĆI DIO'!$C$3,'OPĆI DIO'!$L$6:$U$138,10,FALSE))</f>
        <v/>
      </c>
      <c r="B355" s="64" t="str">
        <f>IF(C355="","",VLOOKUP('OPĆI DIO'!$C$3,'OPĆI DIO'!$L$6:$U$138,9,FALSE))</f>
        <v/>
      </c>
      <c r="C355" s="69"/>
      <c r="D355" s="64" t="str">
        <f t="shared" si="55"/>
        <v/>
      </c>
      <c r="E355" s="69"/>
      <c r="F355" s="64" t="str">
        <f t="shared" si="58"/>
        <v/>
      </c>
      <c r="G355" s="102"/>
      <c r="H355" s="64" t="str">
        <f t="shared" si="56"/>
        <v/>
      </c>
      <c r="I355" s="64" t="str">
        <f t="shared" si="57"/>
        <v/>
      </c>
      <c r="J355" s="101"/>
      <c r="K355" s="101"/>
      <c r="L355" s="101"/>
      <c r="M355" s="68"/>
      <c r="O355" t="str">
        <f t="shared" si="51"/>
        <v/>
      </c>
      <c r="P355" t="str">
        <f t="shared" si="52"/>
        <v/>
      </c>
      <c r="Q355" t="str">
        <f t="shared" si="53"/>
        <v/>
      </c>
      <c r="R355" t="str">
        <f t="shared" si="54"/>
        <v/>
      </c>
    </row>
    <row r="356" spans="1:18">
      <c r="A356" s="64" t="str">
        <f>IF(C356="","",VLOOKUP('OPĆI DIO'!$C$3,'OPĆI DIO'!$L$6:$U$138,10,FALSE))</f>
        <v/>
      </c>
      <c r="B356" s="64" t="str">
        <f>IF(C356="","",VLOOKUP('OPĆI DIO'!$C$3,'OPĆI DIO'!$L$6:$U$138,9,FALSE))</f>
        <v/>
      </c>
      <c r="C356" s="69"/>
      <c r="D356" s="64" t="str">
        <f t="shared" si="55"/>
        <v/>
      </c>
      <c r="E356" s="69"/>
      <c r="F356" s="64" t="str">
        <f t="shared" si="58"/>
        <v/>
      </c>
      <c r="G356" s="102"/>
      <c r="H356" s="64" t="str">
        <f t="shared" si="56"/>
        <v/>
      </c>
      <c r="I356" s="64" t="str">
        <f t="shared" si="57"/>
        <v/>
      </c>
      <c r="J356" s="101"/>
      <c r="K356" s="101"/>
      <c r="L356" s="101"/>
      <c r="M356" s="68"/>
      <c r="O356" t="str">
        <f t="shared" si="51"/>
        <v/>
      </c>
      <c r="P356" t="str">
        <f t="shared" si="52"/>
        <v/>
      </c>
      <c r="Q356" t="str">
        <f t="shared" si="53"/>
        <v/>
      </c>
      <c r="R356" t="str">
        <f t="shared" si="54"/>
        <v/>
      </c>
    </row>
    <row r="357" spans="1:18">
      <c r="A357" s="64" t="str">
        <f>IF(C357="","",VLOOKUP('OPĆI DIO'!$C$3,'OPĆI DIO'!$L$6:$U$138,10,FALSE))</f>
        <v/>
      </c>
      <c r="B357" s="64" t="str">
        <f>IF(C357="","",VLOOKUP('OPĆI DIO'!$C$3,'OPĆI DIO'!$L$6:$U$138,9,FALSE))</f>
        <v/>
      </c>
      <c r="C357" s="69"/>
      <c r="D357" s="64" t="str">
        <f t="shared" si="55"/>
        <v/>
      </c>
      <c r="E357" s="69"/>
      <c r="F357" s="64" t="str">
        <f t="shared" si="58"/>
        <v/>
      </c>
      <c r="G357" s="102"/>
      <c r="H357" s="64" t="str">
        <f t="shared" si="56"/>
        <v/>
      </c>
      <c r="I357" s="64" t="str">
        <f t="shared" si="57"/>
        <v/>
      </c>
      <c r="J357" s="101"/>
      <c r="K357" s="101"/>
      <c r="L357" s="101"/>
      <c r="M357" s="68"/>
      <c r="O357" t="str">
        <f t="shared" si="51"/>
        <v/>
      </c>
      <c r="P357" t="str">
        <f t="shared" si="52"/>
        <v/>
      </c>
      <c r="Q357" t="str">
        <f t="shared" si="53"/>
        <v/>
      </c>
      <c r="R357" t="str">
        <f t="shared" si="54"/>
        <v/>
      </c>
    </row>
    <row r="358" spans="1:18">
      <c r="A358" s="64" t="str">
        <f>IF(C358="","",VLOOKUP('OPĆI DIO'!$C$3,'OPĆI DIO'!$L$6:$U$138,10,FALSE))</f>
        <v/>
      </c>
      <c r="B358" s="64" t="str">
        <f>IF(C358="","",VLOOKUP('OPĆI DIO'!$C$3,'OPĆI DIO'!$L$6:$U$138,9,FALSE))</f>
        <v/>
      </c>
      <c r="C358" s="69"/>
      <c r="D358" s="64" t="str">
        <f t="shared" si="55"/>
        <v/>
      </c>
      <c r="E358" s="69"/>
      <c r="F358" s="64" t="str">
        <f t="shared" si="58"/>
        <v/>
      </c>
      <c r="G358" s="102"/>
      <c r="H358" s="64" t="str">
        <f t="shared" si="56"/>
        <v/>
      </c>
      <c r="I358" s="64" t="str">
        <f t="shared" si="57"/>
        <v/>
      </c>
      <c r="J358" s="101"/>
      <c r="K358" s="101"/>
      <c r="L358" s="101"/>
      <c r="M358" s="68"/>
      <c r="O358" t="str">
        <f t="shared" si="51"/>
        <v/>
      </c>
      <c r="P358" t="str">
        <f t="shared" si="52"/>
        <v/>
      </c>
      <c r="Q358" t="str">
        <f t="shared" si="53"/>
        <v/>
      </c>
      <c r="R358" t="str">
        <f t="shared" si="54"/>
        <v/>
      </c>
    </row>
    <row r="359" spans="1:18">
      <c r="A359" s="64" t="str">
        <f>IF(C359="","",VLOOKUP('OPĆI DIO'!$C$3,'OPĆI DIO'!$L$6:$U$138,10,FALSE))</f>
        <v/>
      </c>
      <c r="B359" s="64" t="str">
        <f>IF(C359="","",VLOOKUP('OPĆI DIO'!$C$3,'OPĆI DIO'!$L$6:$U$138,9,FALSE))</f>
        <v/>
      </c>
      <c r="C359" s="69"/>
      <c r="D359" s="64" t="str">
        <f t="shared" si="55"/>
        <v/>
      </c>
      <c r="E359" s="69"/>
      <c r="F359" s="64" t="str">
        <f t="shared" si="58"/>
        <v/>
      </c>
      <c r="G359" s="102"/>
      <c r="H359" s="64" t="str">
        <f t="shared" si="56"/>
        <v/>
      </c>
      <c r="I359" s="64" t="str">
        <f t="shared" si="57"/>
        <v/>
      </c>
      <c r="J359" s="101"/>
      <c r="K359" s="101"/>
      <c r="L359" s="101"/>
      <c r="M359" s="68"/>
      <c r="O359" t="str">
        <f t="shared" si="51"/>
        <v/>
      </c>
      <c r="P359" t="str">
        <f t="shared" si="52"/>
        <v/>
      </c>
      <c r="Q359" t="str">
        <f t="shared" si="53"/>
        <v/>
      </c>
      <c r="R359" t="str">
        <f t="shared" si="54"/>
        <v/>
      </c>
    </row>
    <row r="360" spans="1:18">
      <c r="A360" s="64" t="str">
        <f>IF(C360="","",VLOOKUP('OPĆI DIO'!$C$3,'OPĆI DIO'!$L$6:$U$138,10,FALSE))</f>
        <v/>
      </c>
      <c r="B360" s="64" t="str">
        <f>IF(C360="","",VLOOKUP('OPĆI DIO'!$C$3,'OPĆI DIO'!$L$6:$U$138,9,FALSE))</f>
        <v/>
      </c>
      <c r="C360" s="69"/>
      <c r="D360" s="64" t="str">
        <f t="shared" si="55"/>
        <v/>
      </c>
      <c r="E360" s="69"/>
      <c r="F360" s="64" t="str">
        <f t="shared" si="58"/>
        <v/>
      </c>
      <c r="G360" s="102"/>
      <c r="H360" s="64" t="str">
        <f t="shared" si="56"/>
        <v/>
      </c>
      <c r="I360" s="64" t="str">
        <f t="shared" si="57"/>
        <v/>
      </c>
      <c r="J360" s="101"/>
      <c r="K360" s="101"/>
      <c r="L360" s="101"/>
      <c r="M360" s="68"/>
      <c r="O360" t="str">
        <f t="shared" si="51"/>
        <v/>
      </c>
      <c r="P360" t="str">
        <f t="shared" si="52"/>
        <v/>
      </c>
      <c r="Q360" t="str">
        <f t="shared" si="53"/>
        <v/>
      </c>
      <c r="R360" t="str">
        <f t="shared" si="54"/>
        <v/>
      </c>
    </row>
    <row r="361" spans="1:18">
      <c r="A361" s="64" t="str">
        <f>IF(C361="","",VLOOKUP('OPĆI DIO'!$C$3,'OPĆI DIO'!$L$6:$U$138,10,FALSE))</f>
        <v/>
      </c>
      <c r="B361" s="64" t="str">
        <f>IF(C361="","",VLOOKUP('OPĆI DIO'!$C$3,'OPĆI DIO'!$L$6:$U$138,9,FALSE))</f>
        <v/>
      </c>
      <c r="C361" s="69"/>
      <c r="D361" s="64" t="str">
        <f t="shared" si="55"/>
        <v/>
      </c>
      <c r="E361" s="69"/>
      <c r="F361" s="64" t="str">
        <f t="shared" si="58"/>
        <v/>
      </c>
      <c r="G361" s="102"/>
      <c r="H361" s="64" t="str">
        <f t="shared" si="56"/>
        <v/>
      </c>
      <c r="I361" s="64" t="str">
        <f t="shared" si="57"/>
        <v/>
      </c>
      <c r="J361" s="101"/>
      <c r="K361" s="101"/>
      <c r="L361" s="101"/>
      <c r="M361" s="68"/>
      <c r="O361" t="str">
        <f t="shared" si="51"/>
        <v/>
      </c>
      <c r="P361" t="str">
        <f t="shared" si="52"/>
        <v/>
      </c>
      <c r="Q361" t="str">
        <f t="shared" si="53"/>
        <v/>
      </c>
      <c r="R361" t="str">
        <f t="shared" si="54"/>
        <v/>
      </c>
    </row>
    <row r="362" spans="1:18">
      <c r="A362" s="64" t="str">
        <f>IF(C362="","",VLOOKUP('OPĆI DIO'!$C$3,'OPĆI DIO'!$L$6:$U$138,10,FALSE))</f>
        <v/>
      </c>
      <c r="B362" s="64" t="str">
        <f>IF(C362="","",VLOOKUP('OPĆI DIO'!$C$3,'OPĆI DIO'!$L$6:$U$138,9,FALSE))</f>
        <v/>
      </c>
      <c r="C362" s="69"/>
      <c r="D362" s="64" t="str">
        <f t="shared" si="55"/>
        <v/>
      </c>
      <c r="E362" s="69"/>
      <c r="F362" s="64" t="str">
        <f t="shared" si="58"/>
        <v/>
      </c>
      <c r="G362" s="102"/>
      <c r="H362" s="64" t="str">
        <f t="shared" si="56"/>
        <v/>
      </c>
      <c r="I362" s="64" t="str">
        <f t="shared" si="57"/>
        <v/>
      </c>
      <c r="J362" s="101"/>
      <c r="K362" s="101"/>
      <c r="L362" s="101"/>
      <c r="M362" s="68"/>
      <c r="O362" t="str">
        <f t="shared" si="51"/>
        <v/>
      </c>
      <c r="P362" t="str">
        <f t="shared" si="52"/>
        <v/>
      </c>
      <c r="Q362" t="str">
        <f t="shared" si="53"/>
        <v/>
      </c>
      <c r="R362" t="str">
        <f t="shared" si="54"/>
        <v/>
      </c>
    </row>
    <row r="363" spans="1:18">
      <c r="A363" s="64" t="str">
        <f>IF(C363="","",VLOOKUP('OPĆI DIO'!$C$3,'OPĆI DIO'!$L$6:$U$138,10,FALSE))</f>
        <v/>
      </c>
      <c r="B363" s="64" t="str">
        <f>IF(C363="","",VLOOKUP('OPĆI DIO'!$C$3,'OPĆI DIO'!$L$6:$U$138,9,FALSE))</f>
        <v/>
      </c>
      <c r="C363" s="69"/>
      <c r="D363" s="64" t="str">
        <f t="shared" si="55"/>
        <v/>
      </c>
      <c r="E363" s="69"/>
      <c r="F363" s="64" t="str">
        <f t="shared" si="58"/>
        <v/>
      </c>
      <c r="G363" s="102"/>
      <c r="H363" s="64" t="str">
        <f t="shared" si="56"/>
        <v/>
      </c>
      <c r="I363" s="64" t="str">
        <f t="shared" si="57"/>
        <v/>
      </c>
      <c r="J363" s="101"/>
      <c r="K363" s="101"/>
      <c r="L363" s="101"/>
      <c r="M363" s="68"/>
      <c r="O363" t="str">
        <f t="shared" si="51"/>
        <v/>
      </c>
      <c r="P363" t="str">
        <f t="shared" si="52"/>
        <v/>
      </c>
      <c r="Q363" t="str">
        <f t="shared" si="53"/>
        <v/>
      </c>
      <c r="R363" t="str">
        <f t="shared" si="54"/>
        <v/>
      </c>
    </row>
    <row r="364" spans="1:18">
      <c r="A364" s="64" t="str">
        <f>IF(C364="","",VLOOKUP('OPĆI DIO'!$C$3,'OPĆI DIO'!$L$6:$U$138,10,FALSE))</f>
        <v/>
      </c>
      <c r="B364" s="64" t="str">
        <f>IF(C364="","",VLOOKUP('OPĆI DIO'!$C$3,'OPĆI DIO'!$L$6:$U$138,9,FALSE))</f>
        <v/>
      </c>
      <c r="C364" s="69"/>
      <c r="D364" s="64" t="str">
        <f t="shared" si="55"/>
        <v/>
      </c>
      <c r="E364" s="69"/>
      <c r="F364" s="64" t="str">
        <f t="shared" si="58"/>
        <v/>
      </c>
      <c r="G364" s="102"/>
      <c r="H364" s="64" t="str">
        <f t="shared" si="56"/>
        <v/>
      </c>
      <c r="I364" s="64" t="str">
        <f t="shared" si="57"/>
        <v/>
      </c>
      <c r="J364" s="101"/>
      <c r="K364" s="101"/>
      <c r="L364" s="101"/>
      <c r="M364" s="68"/>
      <c r="O364" t="str">
        <f t="shared" si="51"/>
        <v/>
      </c>
      <c r="P364" t="str">
        <f t="shared" si="52"/>
        <v/>
      </c>
      <c r="Q364" t="str">
        <f t="shared" si="53"/>
        <v/>
      </c>
      <c r="R364" t="str">
        <f t="shared" si="54"/>
        <v/>
      </c>
    </row>
    <row r="365" spans="1:18">
      <c r="A365" s="64" t="str">
        <f>IF(C365="","",VLOOKUP('OPĆI DIO'!$C$3,'OPĆI DIO'!$L$6:$U$138,10,FALSE))</f>
        <v/>
      </c>
      <c r="B365" s="64" t="str">
        <f>IF(C365="","",VLOOKUP('OPĆI DIO'!$C$3,'OPĆI DIO'!$L$6:$U$138,9,FALSE))</f>
        <v/>
      </c>
      <c r="C365" s="69"/>
      <c r="D365" s="64" t="str">
        <f t="shared" si="55"/>
        <v/>
      </c>
      <c r="E365" s="69"/>
      <c r="F365" s="64" t="str">
        <f t="shared" si="58"/>
        <v/>
      </c>
      <c r="G365" s="102"/>
      <c r="H365" s="64" t="str">
        <f t="shared" si="56"/>
        <v/>
      </c>
      <c r="I365" s="64" t="str">
        <f t="shared" si="57"/>
        <v/>
      </c>
      <c r="J365" s="101"/>
      <c r="K365" s="101"/>
      <c r="L365" s="101"/>
      <c r="M365" s="68"/>
      <c r="O365" t="str">
        <f t="shared" si="51"/>
        <v/>
      </c>
      <c r="P365" t="str">
        <f t="shared" si="52"/>
        <v/>
      </c>
      <c r="Q365" t="str">
        <f t="shared" si="53"/>
        <v/>
      </c>
      <c r="R365" t="str">
        <f t="shared" si="54"/>
        <v/>
      </c>
    </row>
    <row r="366" spans="1:18">
      <c r="A366" s="64" t="str">
        <f>IF(C366="","",VLOOKUP('OPĆI DIO'!$C$3,'OPĆI DIO'!$L$6:$U$138,10,FALSE))</f>
        <v/>
      </c>
      <c r="B366" s="64" t="str">
        <f>IF(C366="","",VLOOKUP('OPĆI DIO'!$C$3,'OPĆI DIO'!$L$6:$U$138,9,FALSE))</f>
        <v/>
      </c>
      <c r="C366" s="69"/>
      <c r="D366" s="64" t="str">
        <f t="shared" si="55"/>
        <v/>
      </c>
      <c r="E366" s="69"/>
      <c r="F366" s="64" t="str">
        <f t="shared" si="58"/>
        <v/>
      </c>
      <c r="G366" s="102"/>
      <c r="H366" s="64" t="str">
        <f t="shared" si="56"/>
        <v/>
      </c>
      <c r="I366" s="64" t="str">
        <f t="shared" si="57"/>
        <v/>
      </c>
      <c r="J366" s="101"/>
      <c r="K366" s="101"/>
      <c r="L366" s="101"/>
      <c r="M366" s="68"/>
      <c r="O366" t="str">
        <f t="shared" si="51"/>
        <v/>
      </c>
      <c r="P366" t="str">
        <f t="shared" si="52"/>
        <v/>
      </c>
      <c r="Q366" t="str">
        <f t="shared" si="53"/>
        <v/>
      </c>
      <c r="R366" t="str">
        <f t="shared" si="54"/>
        <v/>
      </c>
    </row>
    <row r="367" spans="1:18">
      <c r="A367" s="64" t="str">
        <f>IF(C367="","",VLOOKUP('OPĆI DIO'!$C$3,'OPĆI DIO'!$L$6:$U$138,10,FALSE))</f>
        <v/>
      </c>
      <c r="B367" s="64" t="str">
        <f>IF(C367="","",VLOOKUP('OPĆI DIO'!$C$3,'OPĆI DIO'!$L$6:$U$138,9,FALSE))</f>
        <v/>
      </c>
      <c r="C367" s="69"/>
      <c r="D367" s="64" t="str">
        <f t="shared" si="55"/>
        <v/>
      </c>
      <c r="E367" s="69"/>
      <c r="F367" s="64" t="str">
        <f t="shared" si="58"/>
        <v/>
      </c>
      <c r="G367" s="102"/>
      <c r="H367" s="64" t="str">
        <f t="shared" si="56"/>
        <v/>
      </c>
      <c r="I367" s="64" t="str">
        <f t="shared" si="57"/>
        <v/>
      </c>
      <c r="J367" s="101"/>
      <c r="K367" s="101"/>
      <c r="L367" s="101"/>
      <c r="M367" s="68"/>
      <c r="O367" t="str">
        <f t="shared" si="51"/>
        <v/>
      </c>
      <c r="P367" t="str">
        <f t="shared" si="52"/>
        <v/>
      </c>
      <c r="Q367" t="str">
        <f t="shared" si="53"/>
        <v/>
      </c>
      <c r="R367" t="str">
        <f t="shared" si="54"/>
        <v/>
      </c>
    </row>
    <row r="368" spans="1:18">
      <c r="A368" s="64" t="str">
        <f>IF(C368="","",VLOOKUP('OPĆI DIO'!$C$3,'OPĆI DIO'!$L$6:$U$138,10,FALSE))</f>
        <v/>
      </c>
      <c r="B368" s="64" t="str">
        <f>IF(C368="","",VLOOKUP('OPĆI DIO'!$C$3,'OPĆI DIO'!$L$6:$U$138,9,FALSE))</f>
        <v/>
      </c>
      <c r="C368" s="69"/>
      <c r="D368" s="64" t="str">
        <f t="shared" si="55"/>
        <v/>
      </c>
      <c r="E368" s="69"/>
      <c r="F368" s="64" t="str">
        <f t="shared" si="58"/>
        <v/>
      </c>
      <c r="G368" s="102"/>
      <c r="H368" s="64" t="str">
        <f t="shared" si="56"/>
        <v/>
      </c>
      <c r="I368" s="64" t="str">
        <f t="shared" si="57"/>
        <v/>
      </c>
      <c r="J368" s="101"/>
      <c r="K368" s="101"/>
      <c r="L368" s="101"/>
      <c r="M368" s="68"/>
      <c r="O368" t="str">
        <f t="shared" si="51"/>
        <v/>
      </c>
      <c r="P368" t="str">
        <f t="shared" si="52"/>
        <v/>
      </c>
      <c r="Q368" t="str">
        <f t="shared" si="53"/>
        <v/>
      </c>
      <c r="R368" t="str">
        <f t="shared" si="54"/>
        <v/>
      </c>
    </row>
    <row r="369" spans="1:18">
      <c r="A369" s="64" t="str">
        <f>IF(C369="","",VLOOKUP('OPĆI DIO'!$C$3,'OPĆI DIO'!$L$6:$U$138,10,FALSE))</f>
        <v/>
      </c>
      <c r="B369" s="64" t="str">
        <f>IF(C369="","",VLOOKUP('OPĆI DIO'!$C$3,'OPĆI DIO'!$L$6:$U$138,9,FALSE))</f>
        <v/>
      </c>
      <c r="C369" s="69"/>
      <c r="D369" s="64" t="str">
        <f t="shared" si="55"/>
        <v/>
      </c>
      <c r="E369" s="69"/>
      <c r="F369" s="64" t="str">
        <f t="shared" si="58"/>
        <v/>
      </c>
      <c r="G369" s="102"/>
      <c r="H369" s="64" t="str">
        <f t="shared" si="56"/>
        <v/>
      </c>
      <c r="I369" s="64" t="str">
        <f t="shared" si="57"/>
        <v/>
      </c>
      <c r="J369" s="101"/>
      <c r="K369" s="101"/>
      <c r="L369" s="101"/>
      <c r="M369" s="68"/>
      <c r="O369" t="str">
        <f t="shared" si="51"/>
        <v/>
      </c>
      <c r="P369" t="str">
        <f t="shared" si="52"/>
        <v/>
      </c>
      <c r="Q369" t="str">
        <f t="shared" si="53"/>
        <v/>
      </c>
      <c r="R369" t="str">
        <f t="shared" si="54"/>
        <v/>
      </c>
    </row>
    <row r="370" spans="1:18">
      <c r="A370" s="64" t="str">
        <f>IF(C370="","",VLOOKUP('OPĆI DIO'!$C$3,'OPĆI DIO'!$L$6:$U$138,10,FALSE))</f>
        <v/>
      </c>
      <c r="B370" s="64" t="str">
        <f>IF(C370="","",VLOOKUP('OPĆI DIO'!$C$3,'OPĆI DIO'!$L$6:$U$138,9,FALSE))</f>
        <v/>
      </c>
      <c r="C370" s="69"/>
      <c r="D370" s="64" t="str">
        <f t="shared" si="55"/>
        <v/>
      </c>
      <c r="E370" s="69"/>
      <c r="F370" s="64" t="str">
        <f t="shared" si="58"/>
        <v/>
      </c>
      <c r="G370" s="102"/>
      <c r="H370" s="64" t="str">
        <f t="shared" si="56"/>
        <v/>
      </c>
      <c r="I370" s="64" t="str">
        <f t="shared" si="57"/>
        <v/>
      </c>
      <c r="J370" s="101"/>
      <c r="K370" s="101"/>
      <c r="L370" s="101"/>
      <c r="M370" s="68"/>
      <c r="O370" t="str">
        <f t="shared" si="51"/>
        <v/>
      </c>
      <c r="P370" t="str">
        <f t="shared" si="52"/>
        <v/>
      </c>
      <c r="Q370" t="str">
        <f t="shared" si="53"/>
        <v/>
      </c>
      <c r="R370" t="str">
        <f t="shared" si="54"/>
        <v/>
      </c>
    </row>
    <row r="371" spans="1:18">
      <c r="A371" s="64" t="str">
        <f>IF(C371="","",VLOOKUP('OPĆI DIO'!$C$3,'OPĆI DIO'!$L$6:$U$138,10,FALSE))</f>
        <v/>
      </c>
      <c r="B371" s="64" t="str">
        <f>IF(C371="","",VLOOKUP('OPĆI DIO'!$C$3,'OPĆI DIO'!$L$6:$U$138,9,FALSE))</f>
        <v/>
      </c>
      <c r="C371" s="69"/>
      <c r="D371" s="64" t="str">
        <f t="shared" si="55"/>
        <v/>
      </c>
      <c r="E371" s="69"/>
      <c r="F371" s="64" t="str">
        <f t="shared" si="58"/>
        <v/>
      </c>
      <c r="G371" s="102"/>
      <c r="H371" s="64" t="str">
        <f t="shared" si="56"/>
        <v/>
      </c>
      <c r="I371" s="64" t="str">
        <f t="shared" si="57"/>
        <v/>
      </c>
      <c r="J371" s="101"/>
      <c r="K371" s="101"/>
      <c r="L371" s="101"/>
      <c r="M371" s="68"/>
      <c r="O371" t="str">
        <f t="shared" si="51"/>
        <v/>
      </c>
      <c r="P371" t="str">
        <f t="shared" si="52"/>
        <v/>
      </c>
      <c r="Q371" t="str">
        <f t="shared" si="53"/>
        <v/>
      </c>
      <c r="R371" t="str">
        <f t="shared" si="54"/>
        <v/>
      </c>
    </row>
    <row r="372" spans="1:18">
      <c r="A372" s="64" t="str">
        <f>IF(C372="","",VLOOKUP('OPĆI DIO'!$C$3,'OPĆI DIO'!$L$6:$U$138,10,FALSE))</f>
        <v/>
      </c>
      <c r="B372" s="64" t="str">
        <f>IF(C372="","",VLOOKUP('OPĆI DIO'!$C$3,'OPĆI DIO'!$L$6:$U$138,9,FALSE))</f>
        <v/>
      </c>
      <c r="C372" s="69"/>
      <c r="D372" s="64" t="str">
        <f t="shared" si="55"/>
        <v/>
      </c>
      <c r="E372" s="69"/>
      <c r="F372" s="64" t="str">
        <f t="shared" si="58"/>
        <v/>
      </c>
      <c r="G372" s="102"/>
      <c r="H372" s="64" t="str">
        <f t="shared" si="56"/>
        <v/>
      </c>
      <c r="I372" s="64" t="str">
        <f t="shared" si="57"/>
        <v/>
      </c>
      <c r="J372" s="101"/>
      <c r="K372" s="101"/>
      <c r="L372" s="101"/>
      <c r="M372" s="68"/>
      <c r="O372" t="str">
        <f t="shared" si="51"/>
        <v/>
      </c>
      <c r="P372" t="str">
        <f t="shared" si="52"/>
        <v/>
      </c>
      <c r="Q372" t="str">
        <f t="shared" si="53"/>
        <v/>
      </c>
      <c r="R372" t="str">
        <f t="shared" si="54"/>
        <v/>
      </c>
    </row>
    <row r="373" spans="1:18">
      <c r="A373" s="64" t="str">
        <f>IF(C373="","",VLOOKUP('OPĆI DIO'!$C$3,'OPĆI DIO'!$L$6:$U$138,10,FALSE))</f>
        <v/>
      </c>
      <c r="B373" s="64" t="str">
        <f>IF(C373="","",VLOOKUP('OPĆI DIO'!$C$3,'OPĆI DIO'!$L$6:$U$138,9,FALSE))</f>
        <v/>
      </c>
      <c r="C373" s="69"/>
      <c r="D373" s="64" t="str">
        <f t="shared" si="55"/>
        <v/>
      </c>
      <c r="E373" s="69"/>
      <c r="F373" s="64" t="str">
        <f t="shared" si="58"/>
        <v/>
      </c>
      <c r="G373" s="102"/>
      <c r="H373" s="64" t="str">
        <f t="shared" si="56"/>
        <v/>
      </c>
      <c r="I373" s="64" t="str">
        <f t="shared" si="57"/>
        <v/>
      </c>
      <c r="J373" s="101"/>
      <c r="K373" s="101"/>
      <c r="L373" s="101"/>
      <c r="M373" s="68"/>
      <c r="O373" t="str">
        <f t="shared" si="51"/>
        <v/>
      </c>
      <c r="P373" t="str">
        <f t="shared" si="52"/>
        <v/>
      </c>
      <c r="Q373" t="str">
        <f t="shared" si="53"/>
        <v/>
      </c>
      <c r="R373" t="str">
        <f t="shared" si="54"/>
        <v/>
      </c>
    </row>
    <row r="374" spans="1:18">
      <c r="A374" s="64" t="str">
        <f>IF(C374="","",VLOOKUP('OPĆI DIO'!$C$3,'OPĆI DIO'!$L$6:$U$138,10,FALSE))</f>
        <v/>
      </c>
      <c r="B374" s="64" t="str">
        <f>IF(C374="","",VLOOKUP('OPĆI DIO'!$C$3,'OPĆI DIO'!$L$6:$U$138,9,FALSE))</f>
        <v/>
      </c>
      <c r="C374" s="69"/>
      <c r="D374" s="64" t="str">
        <f t="shared" si="55"/>
        <v/>
      </c>
      <c r="E374" s="69"/>
      <c r="F374" s="64" t="str">
        <f t="shared" si="58"/>
        <v/>
      </c>
      <c r="G374" s="102"/>
      <c r="H374" s="64" t="str">
        <f t="shared" si="56"/>
        <v/>
      </c>
      <c r="I374" s="64" t="str">
        <f t="shared" si="57"/>
        <v/>
      </c>
      <c r="J374" s="101"/>
      <c r="K374" s="101"/>
      <c r="L374" s="101"/>
      <c r="M374" s="68"/>
      <c r="O374" t="str">
        <f t="shared" si="51"/>
        <v/>
      </c>
      <c r="P374" t="str">
        <f t="shared" si="52"/>
        <v/>
      </c>
      <c r="Q374" t="str">
        <f t="shared" si="53"/>
        <v/>
      </c>
      <c r="R374" t="str">
        <f t="shared" si="54"/>
        <v/>
      </c>
    </row>
    <row r="375" spans="1:18">
      <c r="A375" s="64" t="str">
        <f>IF(C375="","",VLOOKUP('OPĆI DIO'!$C$3,'OPĆI DIO'!$L$6:$U$138,10,FALSE))</f>
        <v/>
      </c>
      <c r="B375" s="64" t="str">
        <f>IF(C375="","",VLOOKUP('OPĆI DIO'!$C$3,'OPĆI DIO'!$L$6:$U$138,9,FALSE))</f>
        <v/>
      </c>
      <c r="C375" s="69"/>
      <c r="D375" s="64" t="str">
        <f t="shared" si="55"/>
        <v/>
      </c>
      <c r="E375" s="69"/>
      <c r="F375" s="64" t="str">
        <f t="shared" si="58"/>
        <v/>
      </c>
      <c r="G375" s="102"/>
      <c r="H375" s="64" t="str">
        <f t="shared" si="56"/>
        <v/>
      </c>
      <c r="I375" s="64" t="str">
        <f t="shared" si="57"/>
        <v/>
      </c>
      <c r="J375" s="101"/>
      <c r="K375" s="101"/>
      <c r="L375" s="101"/>
      <c r="M375" s="68"/>
      <c r="O375" t="str">
        <f t="shared" si="51"/>
        <v/>
      </c>
      <c r="P375" t="str">
        <f t="shared" si="52"/>
        <v/>
      </c>
      <c r="Q375" t="str">
        <f t="shared" si="53"/>
        <v/>
      </c>
      <c r="R375" t="str">
        <f t="shared" si="54"/>
        <v/>
      </c>
    </row>
    <row r="376" spans="1:18">
      <c r="A376" s="64" t="str">
        <f>IF(C376="","",VLOOKUP('OPĆI DIO'!$C$3,'OPĆI DIO'!$L$6:$U$138,10,FALSE))</f>
        <v/>
      </c>
      <c r="B376" s="64" t="str">
        <f>IF(C376="","",VLOOKUP('OPĆI DIO'!$C$3,'OPĆI DIO'!$L$6:$U$138,9,FALSE))</f>
        <v/>
      </c>
      <c r="C376" s="69"/>
      <c r="D376" s="64" t="str">
        <f t="shared" si="55"/>
        <v/>
      </c>
      <c r="E376" s="69"/>
      <c r="F376" s="64" t="str">
        <f t="shared" si="58"/>
        <v/>
      </c>
      <c r="G376" s="102"/>
      <c r="H376" s="64" t="str">
        <f t="shared" si="56"/>
        <v/>
      </c>
      <c r="I376" s="64" t="str">
        <f t="shared" si="57"/>
        <v/>
      </c>
      <c r="J376" s="101"/>
      <c r="K376" s="101"/>
      <c r="L376" s="101"/>
      <c r="M376" s="68"/>
      <c r="O376" t="str">
        <f t="shared" si="51"/>
        <v/>
      </c>
      <c r="P376" t="str">
        <f t="shared" si="52"/>
        <v/>
      </c>
      <c r="Q376" t="str">
        <f t="shared" si="53"/>
        <v/>
      </c>
      <c r="R376" t="str">
        <f t="shared" si="54"/>
        <v/>
      </c>
    </row>
    <row r="377" spans="1:18">
      <c r="A377" s="64" t="str">
        <f>IF(C377="","",VLOOKUP('OPĆI DIO'!$C$3,'OPĆI DIO'!$L$6:$U$138,10,FALSE))</f>
        <v/>
      </c>
      <c r="B377" s="64" t="str">
        <f>IF(C377="","",VLOOKUP('OPĆI DIO'!$C$3,'OPĆI DIO'!$L$6:$U$138,9,FALSE))</f>
        <v/>
      </c>
      <c r="C377" s="69"/>
      <c r="D377" s="64" t="str">
        <f t="shared" si="55"/>
        <v/>
      </c>
      <c r="E377" s="69"/>
      <c r="F377" s="64" t="str">
        <f t="shared" si="58"/>
        <v/>
      </c>
      <c r="G377" s="102"/>
      <c r="H377" s="64" t="str">
        <f t="shared" si="56"/>
        <v/>
      </c>
      <c r="I377" s="64" t="str">
        <f t="shared" si="57"/>
        <v/>
      </c>
      <c r="J377" s="101"/>
      <c r="K377" s="101"/>
      <c r="L377" s="101"/>
      <c r="M377" s="68"/>
      <c r="O377" t="str">
        <f t="shared" si="51"/>
        <v/>
      </c>
      <c r="P377" t="str">
        <f t="shared" si="52"/>
        <v/>
      </c>
      <c r="Q377" t="str">
        <f t="shared" si="53"/>
        <v/>
      </c>
      <c r="R377" t="str">
        <f t="shared" si="54"/>
        <v/>
      </c>
    </row>
    <row r="378" spans="1:18">
      <c r="A378" s="64" t="str">
        <f>IF(C378="","",VLOOKUP('OPĆI DIO'!$C$3,'OPĆI DIO'!$L$6:$U$138,10,FALSE))</f>
        <v/>
      </c>
      <c r="B378" s="64" t="str">
        <f>IF(C378="","",VLOOKUP('OPĆI DIO'!$C$3,'OPĆI DIO'!$L$6:$U$138,9,FALSE))</f>
        <v/>
      </c>
      <c r="C378" s="69"/>
      <c r="D378" s="64" t="str">
        <f t="shared" si="55"/>
        <v/>
      </c>
      <c r="E378" s="69"/>
      <c r="F378" s="64" t="str">
        <f t="shared" si="58"/>
        <v/>
      </c>
      <c r="G378" s="102"/>
      <c r="H378" s="64" t="str">
        <f t="shared" si="56"/>
        <v/>
      </c>
      <c r="I378" s="64" t="str">
        <f t="shared" si="57"/>
        <v/>
      </c>
      <c r="J378" s="101"/>
      <c r="K378" s="101"/>
      <c r="L378" s="101"/>
      <c r="M378" s="68"/>
      <c r="O378" t="str">
        <f t="shared" si="51"/>
        <v/>
      </c>
      <c r="P378" t="str">
        <f t="shared" si="52"/>
        <v/>
      </c>
      <c r="Q378" t="str">
        <f t="shared" si="53"/>
        <v/>
      </c>
      <c r="R378" t="str">
        <f t="shared" si="54"/>
        <v/>
      </c>
    </row>
    <row r="379" spans="1:18">
      <c r="A379" s="64" t="str">
        <f>IF(C379="","",VLOOKUP('OPĆI DIO'!$C$3,'OPĆI DIO'!$L$6:$U$138,10,FALSE))</f>
        <v/>
      </c>
      <c r="B379" s="64" t="str">
        <f>IF(C379="","",VLOOKUP('OPĆI DIO'!$C$3,'OPĆI DIO'!$L$6:$U$138,9,FALSE))</f>
        <v/>
      </c>
      <c r="C379" s="69"/>
      <c r="D379" s="64" t="str">
        <f t="shared" si="55"/>
        <v/>
      </c>
      <c r="E379" s="69"/>
      <c r="F379" s="64" t="str">
        <f t="shared" si="58"/>
        <v/>
      </c>
      <c r="G379" s="102"/>
      <c r="H379" s="64" t="str">
        <f t="shared" si="56"/>
        <v/>
      </c>
      <c r="I379" s="64" t="str">
        <f t="shared" si="57"/>
        <v/>
      </c>
      <c r="J379" s="101"/>
      <c r="K379" s="101"/>
      <c r="L379" s="101"/>
      <c r="M379" s="68"/>
      <c r="O379" t="str">
        <f t="shared" si="51"/>
        <v/>
      </c>
      <c r="P379" t="str">
        <f t="shared" si="52"/>
        <v/>
      </c>
      <c r="Q379" t="str">
        <f t="shared" si="53"/>
        <v/>
      </c>
      <c r="R379" t="str">
        <f t="shared" si="54"/>
        <v/>
      </c>
    </row>
    <row r="380" spans="1:18">
      <c r="A380" s="64" t="str">
        <f>IF(C380="","",VLOOKUP('OPĆI DIO'!$C$3,'OPĆI DIO'!$L$6:$U$138,10,FALSE))</f>
        <v/>
      </c>
      <c r="B380" s="64" t="str">
        <f>IF(C380="","",VLOOKUP('OPĆI DIO'!$C$3,'OPĆI DIO'!$L$6:$U$138,9,FALSE))</f>
        <v/>
      </c>
      <c r="C380" s="69"/>
      <c r="D380" s="64" t="str">
        <f t="shared" si="55"/>
        <v/>
      </c>
      <c r="E380" s="69"/>
      <c r="F380" s="64" t="str">
        <f t="shared" si="58"/>
        <v/>
      </c>
      <c r="G380" s="102"/>
      <c r="H380" s="64" t="str">
        <f t="shared" si="56"/>
        <v/>
      </c>
      <c r="I380" s="64" t="str">
        <f t="shared" si="57"/>
        <v/>
      </c>
      <c r="J380" s="101"/>
      <c r="K380" s="101"/>
      <c r="L380" s="101"/>
      <c r="M380" s="68"/>
      <c r="O380" t="str">
        <f t="shared" si="51"/>
        <v/>
      </c>
      <c r="P380" t="str">
        <f t="shared" si="52"/>
        <v/>
      </c>
      <c r="Q380" t="str">
        <f t="shared" si="53"/>
        <v/>
      </c>
      <c r="R380" t="str">
        <f t="shared" si="54"/>
        <v/>
      </c>
    </row>
    <row r="381" spans="1:18">
      <c r="A381" s="64" t="str">
        <f>IF(C381="","",VLOOKUP('OPĆI DIO'!$C$3,'OPĆI DIO'!$L$6:$U$138,10,FALSE))</f>
        <v/>
      </c>
      <c r="B381" s="64" t="str">
        <f>IF(C381="","",VLOOKUP('OPĆI DIO'!$C$3,'OPĆI DIO'!$L$6:$U$138,9,FALSE))</f>
        <v/>
      </c>
      <c r="C381" s="69"/>
      <c r="D381" s="64" t="str">
        <f t="shared" si="55"/>
        <v/>
      </c>
      <c r="E381" s="69"/>
      <c r="F381" s="64" t="str">
        <f t="shared" si="58"/>
        <v/>
      </c>
      <c r="G381" s="102"/>
      <c r="H381" s="64" t="str">
        <f t="shared" si="56"/>
        <v/>
      </c>
      <c r="I381" s="64" t="str">
        <f t="shared" si="57"/>
        <v/>
      </c>
      <c r="J381" s="101"/>
      <c r="K381" s="101"/>
      <c r="L381" s="101"/>
      <c r="M381" s="68"/>
      <c r="O381" t="str">
        <f t="shared" si="51"/>
        <v/>
      </c>
      <c r="P381" t="str">
        <f t="shared" si="52"/>
        <v/>
      </c>
      <c r="Q381" t="str">
        <f t="shared" si="53"/>
        <v/>
      </c>
      <c r="R381" t="str">
        <f t="shared" si="54"/>
        <v/>
      </c>
    </row>
    <row r="382" spans="1:18">
      <c r="A382" s="64" t="str">
        <f>IF(C382="","",VLOOKUP('OPĆI DIO'!$C$3,'OPĆI DIO'!$L$6:$U$138,10,FALSE))</f>
        <v/>
      </c>
      <c r="B382" s="64" t="str">
        <f>IF(C382="","",VLOOKUP('OPĆI DIO'!$C$3,'OPĆI DIO'!$L$6:$U$138,9,FALSE))</f>
        <v/>
      </c>
      <c r="C382" s="69"/>
      <c r="D382" s="64" t="str">
        <f t="shared" si="55"/>
        <v/>
      </c>
      <c r="E382" s="69"/>
      <c r="F382" s="64" t="str">
        <f t="shared" si="58"/>
        <v/>
      </c>
      <c r="G382" s="102"/>
      <c r="H382" s="64" t="str">
        <f t="shared" si="56"/>
        <v/>
      </c>
      <c r="I382" s="64" t="str">
        <f t="shared" si="57"/>
        <v/>
      </c>
      <c r="J382" s="101"/>
      <c r="K382" s="101"/>
      <c r="L382" s="101"/>
      <c r="M382" s="68"/>
      <c r="O382" t="str">
        <f t="shared" si="51"/>
        <v/>
      </c>
      <c r="P382" t="str">
        <f t="shared" si="52"/>
        <v/>
      </c>
      <c r="Q382" t="str">
        <f t="shared" si="53"/>
        <v/>
      </c>
      <c r="R382" t="str">
        <f t="shared" si="54"/>
        <v/>
      </c>
    </row>
    <row r="383" spans="1:18">
      <c r="A383" s="64" t="str">
        <f>IF(C383="","",VLOOKUP('OPĆI DIO'!$C$3,'OPĆI DIO'!$L$6:$U$138,10,FALSE))</f>
        <v/>
      </c>
      <c r="B383" s="64" t="str">
        <f>IF(C383="","",VLOOKUP('OPĆI DIO'!$C$3,'OPĆI DIO'!$L$6:$U$138,9,FALSE))</f>
        <v/>
      </c>
      <c r="C383" s="69"/>
      <c r="D383" s="64" t="str">
        <f t="shared" si="55"/>
        <v/>
      </c>
      <c r="E383" s="69"/>
      <c r="F383" s="64" t="str">
        <f t="shared" si="58"/>
        <v/>
      </c>
      <c r="G383" s="102"/>
      <c r="H383" s="64" t="str">
        <f t="shared" si="56"/>
        <v/>
      </c>
      <c r="I383" s="64" t="str">
        <f t="shared" si="57"/>
        <v/>
      </c>
      <c r="J383" s="101"/>
      <c r="K383" s="101"/>
      <c r="L383" s="101"/>
      <c r="M383" s="68"/>
      <c r="O383" t="str">
        <f t="shared" si="51"/>
        <v/>
      </c>
      <c r="P383" t="str">
        <f t="shared" si="52"/>
        <v/>
      </c>
      <c r="Q383" t="str">
        <f t="shared" si="53"/>
        <v/>
      </c>
      <c r="R383" t="str">
        <f t="shared" si="54"/>
        <v/>
      </c>
    </row>
    <row r="384" spans="1:18">
      <c r="A384" s="64" t="str">
        <f>IF(C384="","",VLOOKUP('OPĆI DIO'!$C$3,'OPĆI DIO'!$L$6:$U$138,10,FALSE))</f>
        <v/>
      </c>
      <c r="B384" s="64" t="str">
        <f>IF(C384="","",VLOOKUP('OPĆI DIO'!$C$3,'OPĆI DIO'!$L$6:$U$138,9,FALSE))</f>
        <v/>
      </c>
      <c r="C384" s="69"/>
      <c r="D384" s="64" t="str">
        <f t="shared" si="55"/>
        <v/>
      </c>
      <c r="E384" s="69"/>
      <c r="F384" s="64" t="str">
        <f t="shared" si="58"/>
        <v/>
      </c>
      <c r="G384" s="102"/>
      <c r="H384" s="64" t="str">
        <f t="shared" si="56"/>
        <v/>
      </c>
      <c r="I384" s="64" t="str">
        <f t="shared" si="57"/>
        <v/>
      </c>
      <c r="J384" s="101"/>
      <c r="K384" s="101"/>
      <c r="L384" s="101"/>
      <c r="M384" s="68"/>
      <c r="O384" t="str">
        <f t="shared" si="51"/>
        <v/>
      </c>
      <c r="P384" t="str">
        <f t="shared" si="52"/>
        <v/>
      </c>
      <c r="Q384" t="str">
        <f t="shared" si="53"/>
        <v/>
      </c>
      <c r="R384" t="str">
        <f t="shared" si="54"/>
        <v/>
      </c>
    </row>
    <row r="385" spans="1:18">
      <c r="A385" s="64" t="str">
        <f>IF(C385="","",VLOOKUP('OPĆI DIO'!$C$3,'OPĆI DIO'!$L$6:$U$138,10,FALSE))</f>
        <v/>
      </c>
      <c r="B385" s="64" t="str">
        <f>IF(C385="","",VLOOKUP('OPĆI DIO'!$C$3,'OPĆI DIO'!$L$6:$U$138,9,FALSE))</f>
        <v/>
      </c>
      <c r="C385" s="69"/>
      <c r="D385" s="64" t="str">
        <f t="shared" si="55"/>
        <v/>
      </c>
      <c r="E385" s="69"/>
      <c r="F385" s="64" t="str">
        <f t="shared" si="58"/>
        <v/>
      </c>
      <c r="G385" s="102"/>
      <c r="H385" s="64" t="str">
        <f t="shared" si="56"/>
        <v/>
      </c>
      <c r="I385" s="64" t="str">
        <f t="shared" si="57"/>
        <v/>
      </c>
      <c r="J385" s="101"/>
      <c r="K385" s="101"/>
      <c r="L385" s="101"/>
      <c r="M385" s="68"/>
      <c r="O385" t="str">
        <f t="shared" ref="O385:O448" si="59">LEFT(E385,3)</f>
        <v/>
      </c>
      <c r="P385" t="str">
        <f t="shared" ref="P385:P448" si="60">LEFT(E385,2)</f>
        <v/>
      </c>
      <c r="Q385" t="str">
        <f t="shared" ref="Q385:Q448" si="61">LEFT(C385,3)</f>
        <v/>
      </c>
      <c r="R385" t="str">
        <f t="shared" ref="R385:R448" si="62">MID(I385,2,2)</f>
        <v/>
      </c>
    </row>
    <row r="386" spans="1:18">
      <c r="A386" s="64" t="str">
        <f>IF(C386="","",VLOOKUP('OPĆI DIO'!$C$3,'OPĆI DIO'!$L$6:$U$138,10,FALSE))</f>
        <v/>
      </c>
      <c r="B386" s="64" t="str">
        <f>IF(C386="","",VLOOKUP('OPĆI DIO'!$C$3,'OPĆI DIO'!$L$6:$U$138,9,FALSE))</f>
        <v/>
      </c>
      <c r="C386" s="69"/>
      <c r="D386" s="64" t="str">
        <f t="shared" si="55"/>
        <v/>
      </c>
      <c r="E386" s="69"/>
      <c r="F386" s="64" t="str">
        <f t="shared" si="58"/>
        <v/>
      </c>
      <c r="G386" s="102"/>
      <c r="H386" s="64" t="str">
        <f t="shared" si="56"/>
        <v/>
      </c>
      <c r="I386" s="64" t="str">
        <f t="shared" si="57"/>
        <v/>
      </c>
      <c r="J386" s="101"/>
      <c r="K386" s="101"/>
      <c r="L386" s="101"/>
      <c r="M386" s="68"/>
      <c r="O386" t="str">
        <f t="shared" si="59"/>
        <v/>
      </c>
      <c r="P386" t="str">
        <f t="shared" si="60"/>
        <v/>
      </c>
      <c r="Q386" t="str">
        <f t="shared" si="61"/>
        <v/>
      </c>
      <c r="R386" t="str">
        <f t="shared" si="62"/>
        <v/>
      </c>
    </row>
    <row r="387" spans="1:18">
      <c r="A387" s="64" t="str">
        <f>IF(C387="","",VLOOKUP('OPĆI DIO'!$C$3,'OPĆI DIO'!$L$6:$U$138,10,FALSE))</f>
        <v/>
      </c>
      <c r="B387" s="64" t="str">
        <f>IF(C387="","",VLOOKUP('OPĆI DIO'!$C$3,'OPĆI DIO'!$L$6:$U$138,9,FALSE))</f>
        <v/>
      </c>
      <c r="C387" s="69"/>
      <c r="D387" s="64" t="str">
        <f t="shared" ref="D387:D450" si="63">IFERROR(VLOOKUP(C387,$S$6:$T$24,2,FALSE),"")</f>
        <v/>
      </c>
      <c r="E387" s="69"/>
      <c r="F387" s="64" t="str">
        <f t="shared" si="58"/>
        <v/>
      </c>
      <c r="G387" s="102"/>
      <c r="H387" s="64" t="str">
        <f t="shared" ref="H387:H450" si="64">IFERROR(VLOOKUP(G387,$AB$6:$AC$324,2,FALSE),"")</f>
        <v/>
      </c>
      <c r="I387" s="64" t="str">
        <f t="shared" ref="I387:I450" si="65">IFERROR(VLOOKUP(G387,$AB$6:$AF$324,3,FALSE),"")</f>
        <v/>
      </c>
      <c r="J387" s="101"/>
      <c r="K387" s="101"/>
      <c r="L387" s="101"/>
      <c r="M387" s="68"/>
      <c r="O387" t="str">
        <f t="shared" si="59"/>
        <v/>
      </c>
      <c r="P387" t="str">
        <f t="shared" si="60"/>
        <v/>
      </c>
      <c r="Q387" t="str">
        <f t="shared" si="61"/>
        <v/>
      </c>
      <c r="R387" t="str">
        <f t="shared" si="62"/>
        <v/>
      </c>
    </row>
    <row r="388" spans="1:18">
      <c r="A388" s="64" t="str">
        <f>IF(C388="","",VLOOKUP('OPĆI DIO'!$C$3,'OPĆI DIO'!$L$6:$U$138,10,FALSE))</f>
        <v/>
      </c>
      <c r="B388" s="64" t="str">
        <f>IF(C388="","",VLOOKUP('OPĆI DIO'!$C$3,'OPĆI DIO'!$L$6:$U$138,9,FALSE))</f>
        <v/>
      </c>
      <c r="C388" s="69"/>
      <c r="D388" s="64" t="str">
        <f t="shared" si="63"/>
        <v/>
      </c>
      <c r="E388" s="69"/>
      <c r="F388" s="64" t="str">
        <f t="shared" si="58"/>
        <v/>
      </c>
      <c r="G388" s="102"/>
      <c r="H388" s="64" t="str">
        <f t="shared" si="64"/>
        <v/>
      </c>
      <c r="I388" s="64" t="str">
        <f t="shared" si="65"/>
        <v/>
      </c>
      <c r="J388" s="101"/>
      <c r="K388" s="101"/>
      <c r="L388" s="101"/>
      <c r="M388" s="68"/>
      <c r="O388" t="str">
        <f t="shared" si="59"/>
        <v/>
      </c>
      <c r="P388" t="str">
        <f t="shared" si="60"/>
        <v/>
      </c>
      <c r="Q388" t="str">
        <f t="shared" si="61"/>
        <v/>
      </c>
      <c r="R388" t="str">
        <f t="shared" si="62"/>
        <v/>
      </c>
    </row>
    <row r="389" spans="1:18">
      <c r="A389" s="64" t="str">
        <f>IF(C389="","",VLOOKUP('OPĆI DIO'!$C$3,'OPĆI DIO'!$L$6:$U$138,10,FALSE))</f>
        <v/>
      </c>
      <c r="B389" s="64" t="str">
        <f>IF(C389="","",VLOOKUP('OPĆI DIO'!$C$3,'OPĆI DIO'!$L$6:$U$138,9,FALSE))</f>
        <v/>
      </c>
      <c r="C389" s="69"/>
      <c r="D389" s="64" t="str">
        <f t="shared" si="63"/>
        <v/>
      </c>
      <c r="E389" s="69"/>
      <c r="F389" s="64" t="str">
        <f t="shared" si="58"/>
        <v/>
      </c>
      <c r="G389" s="102"/>
      <c r="H389" s="64" t="str">
        <f t="shared" si="64"/>
        <v/>
      </c>
      <c r="I389" s="64" t="str">
        <f t="shared" si="65"/>
        <v/>
      </c>
      <c r="J389" s="101"/>
      <c r="K389" s="101"/>
      <c r="L389" s="101"/>
      <c r="M389" s="68"/>
      <c r="O389" t="str">
        <f t="shared" si="59"/>
        <v/>
      </c>
      <c r="P389" t="str">
        <f t="shared" si="60"/>
        <v/>
      </c>
      <c r="Q389" t="str">
        <f t="shared" si="61"/>
        <v/>
      </c>
      <c r="R389" t="str">
        <f t="shared" si="62"/>
        <v/>
      </c>
    </row>
    <row r="390" spans="1:18">
      <c r="A390" s="64" t="str">
        <f>IF(C390="","",VLOOKUP('OPĆI DIO'!$C$3,'OPĆI DIO'!$L$6:$U$138,10,FALSE))</f>
        <v/>
      </c>
      <c r="B390" s="64" t="str">
        <f>IF(C390="","",VLOOKUP('OPĆI DIO'!$C$3,'OPĆI DIO'!$L$6:$U$138,9,FALSE))</f>
        <v/>
      </c>
      <c r="C390" s="69"/>
      <c r="D390" s="64" t="str">
        <f t="shared" si="63"/>
        <v/>
      </c>
      <c r="E390" s="69"/>
      <c r="F390" s="64" t="str">
        <f t="shared" si="58"/>
        <v/>
      </c>
      <c r="G390" s="102"/>
      <c r="H390" s="64" t="str">
        <f t="shared" si="64"/>
        <v/>
      </c>
      <c r="I390" s="64" t="str">
        <f t="shared" si="65"/>
        <v/>
      </c>
      <c r="J390" s="101"/>
      <c r="K390" s="101"/>
      <c r="L390" s="101"/>
      <c r="M390" s="68"/>
      <c r="O390" t="str">
        <f t="shared" si="59"/>
        <v/>
      </c>
      <c r="P390" t="str">
        <f t="shared" si="60"/>
        <v/>
      </c>
      <c r="Q390" t="str">
        <f t="shared" si="61"/>
        <v/>
      </c>
      <c r="R390" t="str">
        <f t="shared" si="62"/>
        <v/>
      </c>
    </row>
    <row r="391" spans="1:18">
      <c r="A391" s="64" t="str">
        <f>IF(C391="","",VLOOKUP('OPĆI DIO'!$C$3,'OPĆI DIO'!$L$6:$U$138,10,FALSE))</f>
        <v/>
      </c>
      <c r="B391" s="64" t="str">
        <f>IF(C391="","",VLOOKUP('OPĆI DIO'!$C$3,'OPĆI DIO'!$L$6:$U$138,9,FALSE))</f>
        <v/>
      </c>
      <c r="C391" s="69"/>
      <c r="D391" s="64" t="str">
        <f t="shared" si="63"/>
        <v/>
      </c>
      <c r="E391" s="69"/>
      <c r="F391" s="64" t="str">
        <f t="shared" si="58"/>
        <v/>
      </c>
      <c r="G391" s="102"/>
      <c r="H391" s="64" t="str">
        <f t="shared" si="64"/>
        <v/>
      </c>
      <c r="I391" s="64" t="str">
        <f t="shared" si="65"/>
        <v/>
      </c>
      <c r="J391" s="101"/>
      <c r="K391" s="101"/>
      <c r="L391" s="101"/>
      <c r="M391" s="68"/>
      <c r="O391" t="str">
        <f t="shared" si="59"/>
        <v/>
      </c>
      <c r="P391" t="str">
        <f t="shared" si="60"/>
        <v/>
      </c>
      <c r="Q391" t="str">
        <f t="shared" si="61"/>
        <v/>
      </c>
      <c r="R391" t="str">
        <f t="shared" si="62"/>
        <v/>
      </c>
    </row>
    <row r="392" spans="1:18">
      <c r="A392" s="64" t="str">
        <f>IF(C392="","",VLOOKUP('OPĆI DIO'!$C$3,'OPĆI DIO'!$L$6:$U$138,10,FALSE))</f>
        <v/>
      </c>
      <c r="B392" s="64" t="str">
        <f>IF(C392="","",VLOOKUP('OPĆI DIO'!$C$3,'OPĆI DIO'!$L$6:$U$138,9,FALSE))</f>
        <v/>
      </c>
      <c r="C392" s="69"/>
      <c r="D392" s="64" t="str">
        <f t="shared" si="63"/>
        <v/>
      </c>
      <c r="E392" s="69"/>
      <c r="F392" s="64" t="str">
        <f t="shared" si="58"/>
        <v/>
      </c>
      <c r="G392" s="102"/>
      <c r="H392" s="64" t="str">
        <f t="shared" si="64"/>
        <v/>
      </c>
      <c r="I392" s="64" t="str">
        <f t="shared" si="65"/>
        <v/>
      </c>
      <c r="J392" s="101"/>
      <c r="K392" s="101"/>
      <c r="L392" s="101"/>
      <c r="M392" s="68"/>
      <c r="O392" t="str">
        <f t="shared" si="59"/>
        <v/>
      </c>
      <c r="P392" t="str">
        <f t="shared" si="60"/>
        <v/>
      </c>
      <c r="Q392" t="str">
        <f t="shared" si="61"/>
        <v/>
      </c>
      <c r="R392" t="str">
        <f t="shared" si="62"/>
        <v/>
      </c>
    </row>
    <row r="393" spans="1:18">
      <c r="A393" s="64" t="str">
        <f>IF(C393="","",VLOOKUP('OPĆI DIO'!$C$3,'OPĆI DIO'!$L$6:$U$138,10,FALSE))</f>
        <v/>
      </c>
      <c r="B393" s="64" t="str">
        <f>IF(C393="","",VLOOKUP('OPĆI DIO'!$C$3,'OPĆI DIO'!$L$6:$U$138,9,FALSE))</f>
        <v/>
      </c>
      <c r="C393" s="69"/>
      <c r="D393" s="64" t="str">
        <f t="shared" si="63"/>
        <v/>
      </c>
      <c r="E393" s="69"/>
      <c r="F393" s="64" t="str">
        <f t="shared" si="58"/>
        <v/>
      </c>
      <c r="G393" s="102"/>
      <c r="H393" s="64" t="str">
        <f t="shared" si="64"/>
        <v/>
      </c>
      <c r="I393" s="64" t="str">
        <f t="shared" si="65"/>
        <v/>
      </c>
      <c r="J393" s="101"/>
      <c r="K393" s="101"/>
      <c r="L393" s="101"/>
      <c r="M393" s="68"/>
      <c r="O393" t="str">
        <f t="shared" si="59"/>
        <v/>
      </c>
      <c r="P393" t="str">
        <f t="shared" si="60"/>
        <v/>
      </c>
      <c r="Q393" t="str">
        <f t="shared" si="61"/>
        <v/>
      </c>
      <c r="R393" t="str">
        <f t="shared" si="62"/>
        <v/>
      </c>
    </row>
    <row r="394" spans="1:18">
      <c r="A394" s="64" t="str">
        <f>IF(C394="","",VLOOKUP('OPĆI DIO'!$C$3,'OPĆI DIO'!$L$6:$U$138,10,FALSE))</f>
        <v/>
      </c>
      <c r="B394" s="64" t="str">
        <f>IF(C394="","",VLOOKUP('OPĆI DIO'!$C$3,'OPĆI DIO'!$L$6:$U$138,9,FALSE))</f>
        <v/>
      </c>
      <c r="C394" s="69"/>
      <c r="D394" s="64" t="str">
        <f t="shared" si="63"/>
        <v/>
      </c>
      <c r="E394" s="69"/>
      <c r="F394" s="64" t="str">
        <f t="shared" si="58"/>
        <v/>
      </c>
      <c r="G394" s="102"/>
      <c r="H394" s="64" t="str">
        <f t="shared" si="64"/>
        <v/>
      </c>
      <c r="I394" s="64" t="str">
        <f t="shared" si="65"/>
        <v/>
      </c>
      <c r="J394" s="101"/>
      <c r="K394" s="101"/>
      <c r="L394" s="101"/>
      <c r="M394" s="68"/>
      <c r="O394" t="str">
        <f t="shared" si="59"/>
        <v/>
      </c>
      <c r="P394" t="str">
        <f t="shared" si="60"/>
        <v/>
      </c>
      <c r="Q394" t="str">
        <f t="shared" si="61"/>
        <v/>
      </c>
      <c r="R394" t="str">
        <f t="shared" si="62"/>
        <v/>
      </c>
    </row>
    <row r="395" spans="1:18">
      <c r="A395" s="64" t="str">
        <f>IF(C395="","",VLOOKUP('OPĆI DIO'!$C$3,'OPĆI DIO'!$L$6:$U$138,10,FALSE))</f>
        <v/>
      </c>
      <c r="B395" s="64" t="str">
        <f>IF(C395="","",VLOOKUP('OPĆI DIO'!$C$3,'OPĆI DIO'!$L$6:$U$138,9,FALSE))</f>
        <v/>
      </c>
      <c r="C395" s="69"/>
      <c r="D395" s="64" t="str">
        <f t="shared" si="63"/>
        <v/>
      </c>
      <c r="E395" s="69"/>
      <c r="F395" s="64" t="str">
        <f t="shared" si="58"/>
        <v/>
      </c>
      <c r="G395" s="102"/>
      <c r="H395" s="64" t="str">
        <f t="shared" si="64"/>
        <v/>
      </c>
      <c r="I395" s="64" t="str">
        <f t="shared" si="65"/>
        <v/>
      </c>
      <c r="J395" s="101"/>
      <c r="K395" s="101"/>
      <c r="L395" s="101"/>
      <c r="M395" s="68"/>
      <c r="O395" t="str">
        <f t="shared" si="59"/>
        <v/>
      </c>
      <c r="P395" t="str">
        <f t="shared" si="60"/>
        <v/>
      </c>
      <c r="Q395" t="str">
        <f t="shared" si="61"/>
        <v/>
      </c>
      <c r="R395" t="str">
        <f t="shared" si="62"/>
        <v/>
      </c>
    </row>
    <row r="396" spans="1:18">
      <c r="A396" s="64" t="str">
        <f>IF(C396="","",VLOOKUP('OPĆI DIO'!$C$3,'OPĆI DIO'!$L$6:$U$138,10,FALSE))</f>
        <v/>
      </c>
      <c r="B396" s="64" t="str">
        <f>IF(C396="","",VLOOKUP('OPĆI DIO'!$C$3,'OPĆI DIO'!$L$6:$U$138,9,FALSE))</f>
        <v/>
      </c>
      <c r="C396" s="69"/>
      <c r="D396" s="64" t="str">
        <f t="shared" si="63"/>
        <v/>
      </c>
      <c r="E396" s="69"/>
      <c r="F396" s="64" t="str">
        <f t="shared" si="58"/>
        <v/>
      </c>
      <c r="G396" s="102"/>
      <c r="H396" s="64" t="str">
        <f t="shared" si="64"/>
        <v/>
      </c>
      <c r="I396" s="64" t="str">
        <f t="shared" si="65"/>
        <v/>
      </c>
      <c r="J396" s="101"/>
      <c r="K396" s="101"/>
      <c r="L396" s="101"/>
      <c r="M396" s="68"/>
      <c r="O396" t="str">
        <f t="shared" si="59"/>
        <v/>
      </c>
      <c r="P396" t="str">
        <f t="shared" si="60"/>
        <v/>
      </c>
      <c r="Q396" t="str">
        <f t="shared" si="61"/>
        <v/>
      </c>
      <c r="R396" t="str">
        <f t="shared" si="62"/>
        <v/>
      </c>
    </row>
    <row r="397" spans="1:18">
      <c r="A397" s="64" t="str">
        <f>IF(C397="","",VLOOKUP('OPĆI DIO'!$C$3,'OPĆI DIO'!$L$6:$U$138,10,FALSE))</f>
        <v/>
      </c>
      <c r="B397" s="64" t="str">
        <f>IF(C397="","",VLOOKUP('OPĆI DIO'!$C$3,'OPĆI DIO'!$L$6:$U$138,9,FALSE))</f>
        <v/>
      </c>
      <c r="C397" s="69"/>
      <c r="D397" s="64" t="str">
        <f t="shared" si="63"/>
        <v/>
      </c>
      <c r="E397" s="69"/>
      <c r="F397" s="64" t="str">
        <f t="shared" si="58"/>
        <v/>
      </c>
      <c r="G397" s="102"/>
      <c r="H397" s="64" t="str">
        <f t="shared" si="64"/>
        <v/>
      </c>
      <c r="I397" s="64" t="str">
        <f t="shared" si="65"/>
        <v/>
      </c>
      <c r="J397" s="101"/>
      <c r="K397" s="101"/>
      <c r="L397" s="101"/>
      <c r="M397" s="68"/>
      <c r="O397" t="str">
        <f t="shared" si="59"/>
        <v/>
      </c>
      <c r="P397" t="str">
        <f t="shared" si="60"/>
        <v/>
      </c>
      <c r="Q397" t="str">
        <f t="shared" si="61"/>
        <v/>
      </c>
      <c r="R397" t="str">
        <f t="shared" si="62"/>
        <v/>
      </c>
    </row>
    <row r="398" spans="1:18">
      <c r="A398" s="64" t="str">
        <f>IF(C398="","",VLOOKUP('OPĆI DIO'!$C$3,'OPĆI DIO'!$L$6:$U$138,10,FALSE))</f>
        <v/>
      </c>
      <c r="B398" s="64" t="str">
        <f>IF(C398="","",VLOOKUP('OPĆI DIO'!$C$3,'OPĆI DIO'!$L$6:$U$138,9,FALSE))</f>
        <v/>
      </c>
      <c r="C398" s="69"/>
      <c r="D398" s="64" t="str">
        <f t="shared" si="63"/>
        <v/>
      </c>
      <c r="E398" s="69"/>
      <c r="F398" s="64" t="str">
        <f t="shared" si="58"/>
        <v/>
      </c>
      <c r="G398" s="102"/>
      <c r="H398" s="64" t="str">
        <f t="shared" si="64"/>
        <v/>
      </c>
      <c r="I398" s="64" t="str">
        <f t="shared" si="65"/>
        <v/>
      </c>
      <c r="J398" s="101"/>
      <c r="K398" s="101"/>
      <c r="L398" s="101"/>
      <c r="M398" s="68"/>
      <c r="O398" t="str">
        <f t="shared" si="59"/>
        <v/>
      </c>
      <c r="P398" t="str">
        <f t="shared" si="60"/>
        <v/>
      </c>
      <c r="Q398" t="str">
        <f t="shared" si="61"/>
        <v/>
      </c>
      <c r="R398" t="str">
        <f t="shared" si="62"/>
        <v/>
      </c>
    </row>
    <row r="399" spans="1:18">
      <c r="A399" s="64" t="str">
        <f>IF(C399="","",VLOOKUP('OPĆI DIO'!$C$3,'OPĆI DIO'!$L$6:$U$138,10,FALSE))</f>
        <v/>
      </c>
      <c r="B399" s="64" t="str">
        <f>IF(C399="","",VLOOKUP('OPĆI DIO'!$C$3,'OPĆI DIO'!$L$6:$U$138,9,FALSE))</f>
        <v/>
      </c>
      <c r="C399" s="69"/>
      <c r="D399" s="64" t="str">
        <f t="shared" si="63"/>
        <v/>
      </c>
      <c r="E399" s="69"/>
      <c r="F399" s="64" t="str">
        <f t="shared" ref="F399:F462" si="66">IFERROR(VLOOKUP(E399,$V$5:$X$127,2,FALSE),"")</f>
        <v/>
      </c>
      <c r="G399" s="102"/>
      <c r="H399" s="64" t="str">
        <f t="shared" si="64"/>
        <v/>
      </c>
      <c r="I399" s="64" t="str">
        <f t="shared" si="65"/>
        <v/>
      </c>
      <c r="J399" s="101"/>
      <c r="K399" s="101"/>
      <c r="L399" s="101"/>
      <c r="M399" s="68"/>
      <c r="O399" t="str">
        <f t="shared" si="59"/>
        <v/>
      </c>
      <c r="P399" t="str">
        <f t="shared" si="60"/>
        <v/>
      </c>
      <c r="Q399" t="str">
        <f t="shared" si="61"/>
        <v/>
      </c>
      <c r="R399" t="str">
        <f t="shared" si="62"/>
        <v/>
      </c>
    </row>
    <row r="400" spans="1:18">
      <c r="A400" s="64" t="str">
        <f>IF(C400="","",VLOOKUP('OPĆI DIO'!$C$3,'OPĆI DIO'!$L$6:$U$138,10,FALSE))</f>
        <v/>
      </c>
      <c r="B400" s="64" t="str">
        <f>IF(C400="","",VLOOKUP('OPĆI DIO'!$C$3,'OPĆI DIO'!$L$6:$U$138,9,FALSE))</f>
        <v/>
      </c>
      <c r="C400" s="69"/>
      <c r="D400" s="64" t="str">
        <f t="shared" si="63"/>
        <v/>
      </c>
      <c r="E400" s="69"/>
      <c r="F400" s="64" t="str">
        <f t="shared" si="66"/>
        <v/>
      </c>
      <c r="G400" s="102"/>
      <c r="H400" s="64" t="str">
        <f t="shared" si="64"/>
        <v/>
      </c>
      <c r="I400" s="64" t="str">
        <f t="shared" si="65"/>
        <v/>
      </c>
      <c r="J400" s="101"/>
      <c r="K400" s="101"/>
      <c r="L400" s="101"/>
      <c r="M400" s="68"/>
      <c r="O400" t="str">
        <f t="shared" si="59"/>
        <v/>
      </c>
      <c r="P400" t="str">
        <f t="shared" si="60"/>
        <v/>
      </c>
      <c r="Q400" t="str">
        <f t="shared" si="61"/>
        <v/>
      </c>
      <c r="R400" t="str">
        <f t="shared" si="62"/>
        <v/>
      </c>
    </row>
    <row r="401" spans="1:18">
      <c r="A401" s="64" t="str">
        <f>IF(C401="","",VLOOKUP('OPĆI DIO'!$C$3,'OPĆI DIO'!$L$6:$U$138,10,FALSE))</f>
        <v/>
      </c>
      <c r="B401" s="64" t="str">
        <f>IF(C401="","",VLOOKUP('OPĆI DIO'!$C$3,'OPĆI DIO'!$L$6:$U$138,9,FALSE))</f>
        <v/>
      </c>
      <c r="C401" s="69"/>
      <c r="D401" s="64" t="str">
        <f t="shared" si="63"/>
        <v/>
      </c>
      <c r="E401" s="69"/>
      <c r="F401" s="64" t="str">
        <f t="shared" si="66"/>
        <v/>
      </c>
      <c r="G401" s="102"/>
      <c r="H401" s="64" t="str">
        <f t="shared" si="64"/>
        <v/>
      </c>
      <c r="I401" s="64" t="str">
        <f t="shared" si="65"/>
        <v/>
      </c>
      <c r="J401" s="101"/>
      <c r="K401" s="101"/>
      <c r="L401" s="101"/>
      <c r="M401" s="68"/>
      <c r="O401" t="str">
        <f t="shared" si="59"/>
        <v/>
      </c>
      <c r="P401" t="str">
        <f t="shared" si="60"/>
        <v/>
      </c>
      <c r="Q401" t="str">
        <f t="shared" si="61"/>
        <v/>
      </c>
      <c r="R401" t="str">
        <f t="shared" si="62"/>
        <v/>
      </c>
    </row>
    <row r="402" spans="1:18">
      <c r="A402" s="64" t="str">
        <f>IF(C402="","",VLOOKUP('OPĆI DIO'!$C$3,'OPĆI DIO'!$L$6:$U$138,10,FALSE))</f>
        <v/>
      </c>
      <c r="B402" s="64" t="str">
        <f>IF(C402="","",VLOOKUP('OPĆI DIO'!$C$3,'OPĆI DIO'!$L$6:$U$138,9,FALSE))</f>
        <v/>
      </c>
      <c r="C402" s="69"/>
      <c r="D402" s="64" t="str">
        <f t="shared" si="63"/>
        <v/>
      </c>
      <c r="E402" s="69"/>
      <c r="F402" s="64" t="str">
        <f t="shared" si="66"/>
        <v/>
      </c>
      <c r="G402" s="102"/>
      <c r="H402" s="64" t="str">
        <f t="shared" si="64"/>
        <v/>
      </c>
      <c r="I402" s="64" t="str">
        <f t="shared" si="65"/>
        <v/>
      </c>
      <c r="J402" s="101"/>
      <c r="K402" s="101"/>
      <c r="L402" s="101"/>
      <c r="M402" s="68"/>
      <c r="O402" t="str">
        <f t="shared" si="59"/>
        <v/>
      </c>
      <c r="P402" t="str">
        <f t="shared" si="60"/>
        <v/>
      </c>
      <c r="Q402" t="str">
        <f t="shared" si="61"/>
        <v/>
      </c>
      <c r="R402" t="str">
        <f t="shared" si="62"/>
        <v/>
      </c>
    </row>
    <row r="403" spans="1:18">
      <c r="A403" s="64" t="str">
        <f>IF(C403="","",VLOOKUP('OPĆI DIO'!$C$3,'OPĆI DIO'!$L$6:$U$138,10,FALSE))</f>
        <v/>
      </c>
      <c r="B403" s="64" t="str">
        <f>IF(C403="","",VLOOKUP('OPĆI DIO'!$C$3,'OPĆI DIO'!$L$6:$U$138,9,FALSE))</f>
        <v/>
      </c>
      <c r="C403" s="69"/>
      <c r="D403" s="64" t="str">
        <f t="shared" si="63"/>
        <v/>
      </c>
      <c r="E403" s="69"/>
      <c r="F403" s="64" t="str">
        <f t="shared" si="66"/>
        <v/>
      </c>
      <c r="G403" s="102"/>
      <c r="H403" s="64" t="str">
        <f t="shared" si="64"/>
        <v/>
      </c>
      <c r="I403" s="64" t="str">
        <f t="shared" si="65"/>
        <v/>
      </c>
      <c r="J403" s="101"/>
      <c r="K403" s="101"/>
      <c r="L403" s="101"/>
      <c r="M403" s="68"/>
      <c r="O403" t="str">
        <f t="shared" si="59"/>
        <v/>
      </c>
      <c r="P403" t="str">
        <f t="shared" si="60"/>
        <v/>
      </c>
      <c r="Q403" t="str">
        <f t="shared" si="61"/>
        <v/>
      </c>
      <c r="R403" t="str">
        <f t="shared" si="62"/>
        <v/>
      </c>
    </row>
    <row r="404" spans="1:18">
      <c r="A404" s="64" t="str">
        <f>IF(C404="","",VLOOKUP('OPĆI DIO'!$C$3,'OPĆI DIO'!$L$6:$U$138,10,FALSE))</f>
        <v/>
      </c>
      <c r="B404" s="64" t="str">
        <f>IF(C404="","",VLOOKUP('OPĆI DIO'!$C$3,'OPĆI DIO'!$L$6:$U$138,9,FALSE))</f>
        <v/>
      </c>
      <c r="C404" s="69"/>
      <c r="D404" s="64" t="str">
        <f t="shared" si="63"/>
        <v/>
      </c>
      <c r="E404" s="69"/>
      <c r="F404" s="64" t="str">
        <f t="shared" si="66"/>
        <v/>
      </c>
      <c r="G404" s="102"/>
      <c r="H404" s="64" t="str">
        <f t="shared" si="64"/>
        <v/>
      </c>
      <c r="I404" s="64" t="str">
        <f t="shared" si="65"/>
        <v/>
      </c>
      <c r="J404" s="101"/>
      <c r="K404" s="101"/>
      <c r="L404" s="101"/>
      <c r="M404" s="68"/>
      <c r="O404" t="str">
        <f t="shared" si="59"/>
        <v/>
      </c>
      <c r="P404" t="str">
        <f t="shared" si="60"/>
        <v/>
      </c>
      <c r="Q404" t="str">
        <f t="shared" si="61"/>
        <v/>
      </c>
      <c r="R404" t="str">
        <f t="shared" si="62"/>
        <v/>
      </c>
    </row>
    <row r="405" spans="1:18">
      <c r="A405" s="64" t="str">
        <f>IF(C405="","",VLOOKUP('OPĆI DIO'!$C$3,'OPĆI DIO'!$L$6:$U$138,10,FALSE))</f>
        <v/>
      </c>
      <c r="B405" s="64" t="str">
        <f>IF(C405="","",VLOOKUP('OPĆI DIO'!$C$3,'OPĆI DIO'!$L$6:$U$138,9,FALSE))</f>
        <v/>
      </c>
      <c r="C405" s="69"/>
      <c r="D405" s="64" t="str">
        <f t="shared" si="63"/>
        <v/>
      </c>
      <c r="E405" s="69"/>
      <c r="F405" s="64" t="str">
        <f t="shared" si="66"/>
        <v/>
      </c>
      <c r="G405" s="102"/>
      <c r="H405" s="64" t="str">
        <f t="shared" si="64"/>
        <v/>
      </c>
      <c r="I405" s="64" t="str">
        <f t="shared" si="65"/>
        <v/>
      </c>
      <c r="J405" s="101"/>
      <c r="K405" s="101"/>
      <c r="L405" s="101"/>
      <c r="M405" s="68"/>
      <c r="O405" t="str">
        <f t="shared" si="59"/>
        <v/>
      </c>
      <c r="P405" t="str">
        <f t="shared" si="60"/>
        <v/>
      </c>
      <c r="Q405" t="str">
        <f t="shared" si="61"/>
        <v/>
      </c>
      <c r="R405" t="str">
        <f t="shared" si="62"/>
        <v/>
      </c>
    </row>
    <row r="406" spans="1:18">
      <c r="A406" s="64" t="str">
        <f>IF(C406="","",VLOOKUP('OPĆI DIO'!$C$3,'OPĆI DIO'!$L$6:$U$138,10,FALSE))</f>
        <v/>
      </c>
      <c r="B406" s="64" t="str">
        <f>IF(C406="","",VLOOKUP('OPĆI DIO'!$C$3,'OPĆI DIO'!$L$6:$U$138,9,FALSE))</f>
        <v/>
      </c>
      <c r="C406" s="69"/>
      <c r="D406" s="64" t="str">
        <f t="shared" si="63"/>
        <v/>
      </c>
      <c r="E406" s="69"/>
      <c r="F406" s="64" t="str">
        <f t="shared" si="66"/>
        <v/>
      </c>
      <c r="G406" s="102"/>
      <c r="H406" s="64" t="str">
        <f t="shared" si="64"/>
        <v/>
      </c>
      <c r="I406" s="64" t="str">
        <f t="shared" si="65"/>
        <v/>
      </c>
      <c r="J406" s="101"/>
      <c r="K406" s="101"/>
      <c r="L406" s="101"/>
      <c r="M406" s="68"/>
      <c r="O406" t="str">
        <f t="shared" si="59"/>
        <v/>
      </c>
      <c r="P406" t="str">
        <f t="shared" si="60"/>
        <v/>
      </c>
      <c r="Q406" t="str">
        <f t="shared" si="61"/>
        <v/>
      </c>
      <c r="R406" t="str">
        <f t="shared" si="62"/>
        <v/>
      </c>
    </row>
    <row r="407" spans="1:18">
      <c r="A407" s="64" t="str">
        <f>IF(C407="","",VLOOKUP('OPĆI DIO'!$C$3,'OPĆI DIO'!$L$6:$U$138,10,FALSE))</f>
        <v/>
      </c>
      <c r="B407" s="64" t="str">
        <f>IF(C407="","",VLOOKUP('OPĆI DIO'!$C$3,'OPĆI DIO'!$L$6:$U$138,9,FALSE))</f>
        <v/>
      </c>
      <c r="C407" s="69"/>
      <c r="D407" s="64" t="str">
        <f t="shared" si="63"/>
        <v/>
      </c>
      <c r="E407" s="69"/>
      <c r="F407" s="64" t="str">
        <f t="shared" si="66"/>
        <v/>
      </c>
      <c r="G407" s="102"/>
      <c r="H407" s="64" t="str">
        <f t="shared" si="64"/>
        <v/>
      </c>
      <c r="I407" s="64" t="str">
        <f t="shared" si="65"/>
        <v/>
      </c>
      <c r="J407" s="101"/>
      <c r="K407" s="101"/>
      <c r="L407" s="101"/>
      <c r="M407" s="68"/>
      <c r="O407" t="str">
        <f t="shared" si="59"/>
        <v/>
      </c>
      <c r="P407" t="str">
        <f t="shared" si="60"/>
        <v/>
      </c>
      <c r="Q407" t="str">
        <f t="shared" si="61"/>
        <v/>
      </c>
      <c r="R407" t="str">
        <f t="shared" si="62"/>
        <v/>
      </c>
    </row>
    <row r="408" spans="1:18">
      <c r="A408" s="64" t="str">
        <f>IF(C408="","",VLOOKUP('OPĆI DIO'!$C$3,'OPĆI DIO'!$L$6:$U$138,10,FALSE))</f>
        <v/>
      </c>
      <c r="B408" s="64" t="str">
        <f>IF(C408="","",VLOOKUP('OPĆI DIO'!$C$3,'OPĆI DIO'!$L$6:$U$138,9,FALSE))</f>
        <v/>
      </c>
      <c r="C408" s="69"/>
      <c r="D408" s="64" t="str">
        <f t="shared" si="63"/>
        <v/>
      </c>
      <c r="E408" s="69"/>
      <c r="F408" s="64" t="str">
        <f t="shared" si="66"/>
        <v/>
      </c>
      <c r="G408" s="102"/>
      <c r="H408" s="64" t="str">
        <f t="shared" si="64"/>
        <v/>
      </c>
      <c r="I408" s="64" t="str">
        <f t="shared" si="65"/>
        <v/>
      </c>
      <c r="J408" s="101"/>
      <c r="K408" s="101"/>
      <c r="L408" s="101"/>
      <c r="M408" s="68"/>
      <c r="O408" t="str">
        <f t="shared" si="59"/>
        <v/>
      </c>
      <c r="P408" t="str">
        <f t="shared" si="60"/>
        <v/>
      </c>
      <c r="Q408" t="str">
        <f t="shared" si="61"/>
        <v/>
      </c>
      <c r="R408" t="str">
        <f t="shared" si="62"/>
        <v/>
      </c>
    </row>
    <row r="409" spans="1:18">
      <c r="A409" s="64" t="str">
        <f>IF(C409="","",VLOOKUP('OPĆI DIO'!$C$3,'OPĆI DIO'!$L$6:$U$138,10,FALSE))</f>
        <v/>
      </c>
      <c r="B409" s="64" t="str">
        <f>IF(C409="","",VLOOKUP('OPĆI DIO'!$C$3,'OPĆI DIO'!$L$6:$U$138,9,FALSE))</f>
        <v/>
      </c>
      <c r="C409" s="69"/>
      <c r="D409" s="64" t="str">
        <f t="shared" si="63"/>
        <v/>
      </c>
      <c r="E409" s="69"/>
      <c r="F409" s="64" t="str">
        <f t="shared" si="66"/>
        <v/>
      </c>
      <c r="G409" s="102"/>
      <c r="H409" s="64" t="str">
        <f t="shared" si="64"/>
        <v/>
      </c>
      <c r="I409" s="64" t="str">
        <f t="shared" si="65"/>
        <v/>
      </c>
      <c r="J409" s="101"/>
      <c r="K409" s="101"/>
      <c r="L409" s="101"/>
      <c r="M409" s="68"/>
      <c r="O409" t="str">
        <f t="shared" si="59"/>
        <v/>
      </c>
      <c r="P409" t="str">
        <f t="shared" si="60"/>
        <v/>
      </c>
      <c r="Q409" t="str">
        <f t="shared" si="61"/>
        <v/>
      </c>
      <c r="R409" t="str">
        <f t="shared" si="62"/>
        <v/>
      </c>
    </row>
    <row r="410" spans="1:18">
      <c r="A410" s="64" t="str">
        <f>IF(C410="","",VLOOKUP('OPĆI DIO'!$C$3,'OPĆI DIO'!$L$6:$U$138,10,FALSE))</f>
        <v/>
      </c>
      <c r="B410" s="64" t="str">
        <f>IF(C410="","",VLOOKUP('OPĆI DIO'!$C$3,'OPĆI DIO'!$L$6:$U$138,9,FALSE))</f>
        <v/>
      </c>
      <c r="C410" s="69"/>
      <c r="D410" s="64" t="str">
        <f t="shared" si="63"/>
        <v/>
      </c>
      <c r="E410" s="69"/>
      <c r="F410" s="64" t="str">
        <f t="shared" si="66"/>
        <v/>
      </c>
      <c r="G410" s="102"/>
      <c r="H410" s="64" t="str">
        <f t="shared" si="64"/>
        <v/>
      </c>
      <c r="I410" s="64" t="str">
        <f t="shared" si="65"/>
        <v/>
      </c>
      <c r="J410" s="101"/>
      <c r="K410" s="101"/>
      <c r="L410" s="101"/>
      <c r="M410" s="68"/>
      <c r="O410" t="str">
        <f t="shared" si="59"/>
        <v/>
      </c>
      <c r="P410" t="str">
        <f t="shared" si="60"/>
        <v/>
      </c>
      <c r="Q410" t="str">
        <f t="shared" si="61"/>
        <v/>
      </c>
      <c r="R410" t="str">
        <f t="shared" si="62"/>
        <v/>
      </c>
    </row>
    <row r="411" spans="1:18">
      <c r="A411" s="64" t="str">
        <f>IF(C411="","",VLOOKUP('OPĆI DIO'!$C$3,'OPĆI DIO'!$L$6:$U$138,10,FALSE))</f>
        <v/>
      </c>
      <c r="B411" s="64" t="str">
        <f>IF(C411="","",VLOOKUP('OPĆI DIO'!$C$3,'OPĆI DIO'!$L$6:$U$138,9,FALSE))</f>
        <v/>
      </c>
      <c r="C411" s="69"/>
      <c r="D411" s="64" t="str">
        <f t="shared" si="63"/>
        <v/>
      </c>
      <c r="E411" s="69"/>
      <c r="F411" s="64" t="str">
        <f t="shared" si="66"/>
        <v/>
      </c>
      <c r="G411" s="102"/>
      <c r="H411" s="64" t="str">
        <f t="shared" si="64"/>
        <v/>
      </c>
      <c r="I411" s="64" t="str">
        <f t="shared" si="65"/>
        <v/>
      </c>
      <c r="J411" s="101"/>
      <c r="K411" s="101"/>
      <c r="L411" s="101"/>
      <c r="M411" s="68"/>
      <c r="O411" t="str">
        <f t="shared" si="59"/>
        <v/>
      </c>
      <c r="P411" t="str">
        <f t="shared" si="60"/>
        <v/>
      </c>
      <c r="Q411" t="str">
        <f t="shared" si="61"/>
        <v/>
      </c>
      <c r="R411" t="str">
        <f t="shared" si="62"/>
        <v/>
      </c>
    </row>
    <row r="412" spans="1:18">
      <c r="A412" s="64" t="str">
        <f>IF(C412="","",VLOOKUP('OPĆI DIO'!$C$3,'OPĆI DIO'!$L$6:$U$138,10,FALSE))</f>
        <v/>
      </c>
      <c r="B412" s="64" t="str">
        <f>IF(C412="","",VLOOKUP('OPĆI DIO'!$C$3,'OPĆI DIO'!$L$6:$U$138,9,FALSE))</f>
        <v/>
      </c>
      <c r="C412" s="69"/>
      <c r="D412" s="64" t="str">
        <f t="shared" si="63"/>
        <v/>
      </c>
      <c r="E412" s="69"/>
      <c r="F412" s="64" t="str">
        <f t="shared" si="66"/>
        <v/>
      </c>
      <c r="G412" s="102"/>
      <c r="H412" s="64" t="str">
        <f t="shared" si="64"/>
        <v/>
      </c>
      <c r="I412" s="64" t="str">
        <f t="shared" si="65"/>
        <v/>
      </c>
      <c r="J412" s="101"/>
      <c r="K412" s="101"/>
      <c r="L412" s="101"/>
      <c r="M412" s="68"/>
      <c r="O412" t="str">
        <f t="shared" si="59"/>
        <v/>
      </c>
      <c r="P412" t="str">
        <f t="shared" si="60"/>
        <v/>
      </c>
      <c r="Q412" t="str">
        <f t="shared" si="61"/>
        <v/>
      </c>
      <c r="R412" t="str">
        <f t="shared" si="62"/>
        <v/>
      </c>
    </row>
    <row r="413" spans="1:18">
      <c r="A413" s="64" t="str">
        <f>IF(C413="","",VLOOKUP('OPĆI DIO'!$C$3,'OPĆI DIO'!$L$6:$U$138,10,FALSE))</f>
        <v/>
      </c>
      <c r="B413" s="64" t="str">
        <f>IF(C413="","",VLOOKUP('OPĆI DIO'!$C$3,'OPĆI DIO'!$L$6:$U$138,9,FALSE))</f>
        <v/>
      </c>
      <c r="C413" s="69"/>
      <c r="D413" s="64" t="str">
        <f t="shared" si="63"/>
        <v/>
      </c>
      <c r="E413" s="69"/>
      <c r="F413" s="64" t="str">
        <f t="shared" si="66"/>
        <v/>
      </c>
      <c r="G413" s="102"/>
      <c r="H413" s="64" t="str">
        <f t="shared" si="64"/>
        <v/>
      </c>
      <c r="I413" s="64" t="str">
        <f t="shared" si="65"/>
        <v/>
      </c>
      <c r="J413" s="101"/>
      <c r="K413" s="101"/>
      <c r="L413" s="101"/>
      <c r="M413" s="68"/>
      <c r="O413" t="str">
        <f t="shared" si="59"/>
        <v/>
      </c>
      <c r="P413" t="str">
        <f t="shared" si="60"/>
        <v/>
      </c>
      <c r="Q413" t="str">
        <f t="shared" si="61"/>
        <v/>
      </c>
      <c r="R413" t="str">
        <f t="shared" si="62"/>
        <v/>
      </c>
    </row>
    <row r="414" spans="1:18">
      <c r="A414" s="64" t="str">
        <f>IF(C414="","",VLOOKUP('OPĆI DIO'!$C$3,'OPĆI DIO'!$L$6:$U$138,10,FALSE))</f>
        <v/>
      </c>
      <c r="B414" s="64" t="str">
        <f>IF(C414="","",VLOOKUP('OPĆI DIO'!$C$3,'OPĆI DIO'!$L$6:$U$138,9,FALSE))</f>
        <v/>
      </c>
      <c r="C414" s="69"/>
      <c r="D414" s="64" t="str">
        <f t="shared" si="63"/>
        <v/>
      </c>
      <c r="E414" s="69"/>
      <c r="F414" s="64" t="str">
        <f t="shared" si="66"/>
        <v/>
      </c>
      <c r="G414" s="102"/>
      <c r="H414" s="64" t="str">
        <f t="shared" si="64"/>
        <v/>
      </c>
      <c r="I414" s="64" t="str">
        <f t="shared" si="65"/>
        <v/>
      </c>
      <c r="J414" s="101"/>
      <c r="K414" s="101"/>
      <c r="L414" s="101"/>
      <c r="M414" s="68"/>
      <c r="O414" t="str">
        <f t="shared" si="59"/>
        <v/>
      </c>
      <c r="P414" t="str">
        <f t="shared" si="60"/>
        <v/>
      </c>
      <c r="Q414" t="str">
        <f t="shared" si="61"/>
        <v/>
      </c>
      <c r="R414" t="str">
        <f t="shared" si="62"/>
        <v/>
      </c>
    </row>
    <row r="415" spans="1:18">
      <c r="A415" s="64" t="str">
        <f>IF(C415="","",VLOOKUP('OPĆI DIO'!$C$3,'OPĆI DIO'!$L$6:$U$138,10,FALSE))</f>
        <v/>
      </c>
      <c r="B415" s="64" t="str">
        <f>IF(C415="","",VLOOKUP('OPĆI DIO'!$C$3,'OPĆI DIO'!$L$6:$U$138,9,FALSE))</f>
        <v/>
      </c>
      <c r="C415" s="69"/>
      <c r="D415" s="64" t="str">
        <f t="shared" si="63"/>
        <v/>
      </c>
      <c r="E415" s="69"/>
      <c r="F415" s="64" t="str">
        <f t="shared" si="66"/>
        <v/>
      </c>
      <c r="G415" s="102"/>
      <c r="H415" s="64" t="str">
        <f t="shared" si="64"/>
        <v/>
      </c>
      <c r="I415" s="64" t="str">
        <f t="shared" si="65"/>
        <v/>
      </c>
      <c r="J415" s="101"/>
      <c r="K415" s="101"/>
      <c r="L415" s="101"/>
      <c r="M415" s="68"/>
      <c r="O415" t="str">
        <f t="shared" si="59"/>
        <v/>
      </c>
      <c r="P415" t="str">
        <f t="shared" si="60"/>
        <v/>
      </c>
      <c r="Q415" t="str">
        <f t="shared" si="61"/>
        <v/>
      </c>
      <c r="R415" t="str">
        <f t="shared" si="62"/>
        <v/>
      </c>
    </row>
    <row r="416" spans="1:18">
      <c r="A416" s="64" t="str">
        <f>IF(C416="","",VLOOKUP('OPĆI DIO'!$C$3,'OPĆI DIO'!$L$6:$U$138,10,FALSE))</f>
        <v/>
      </c>
      <c r="B416" s="64" t="str">
        <f>IF(C416="","",VLOOKUP('OPĆI DIO'!$C$3,'OPĆI DIO'!$L$6:$U$138,9,FALSE))</f>
        <v/>
      </c>
      <c r="C416" s="69"/>
      <c r="D416" s="64" t="str">
        <f t="shared" si="63"/>
        <v/>
      </c>
      <c r="E416" s="69"/>
      <c r="F416" s="64" t="str">
        <f t="shared" si="66"/>
        <v/>
      </c>
      <c r="G416" s="102"/>
      <c r="H416" s="64" t="str">
        <f t="shared" si="64"/>
        <v/>
      </c>
      <c r="I416" s="64" t="str">
        <f t="shared" si="65"/>
        <v/>
      </c>
      <c r="J416" s="101"/>
      <c r="K416" s="101"/>
      <c r="L416" s="101"/>
      <c r="M416" s="68"/>
      <c r="O416" t="str">
        <f t="shared" si="59"/>
        <v/>
      </c>
      <c r="P416" t="str">
        <f t="shared" si="60"/>
        <v/>
      </c>
      <c r="Q416" t="str">
        <f t="shared" si="61"/>
        <v/>
      </c>
      <c r="R416" t="str">
        <f t="shared" si="62"/>
        <v/>
      </c>
    </row>
    <row r="417" spans="1:18">
      <c r="A417" s="64" t="str">
        <f>IF(C417="","",VLOOKUP('OPĆI DIO'!$C$3,'OPĆI DIO'!$L$6:$U$138,10,FALSE))</f>
        <v/>
      </c>
      <c r="B417" s="64" t="str">
        <f>IF(C417="","",VLOOKUP('OPĆI DIO'!$C$3,'OPĆI DIO'!$L$6:$U$138,9,FALSE))</f>
        <v/>
      </c>
      <c r="C417" s="69"/>
      <c r="D417" s="64" t="str">
        <f t="shared" si="63"/>
        <v/>
      </c>
      <c r="E417" s="69"/>
      <c r="F417" s="64" t="str">
        <f t="shared" si="66"/>
        <v/>
      </c>
      <c r="G417" s="102"/>
      <c r="H417" s="64" t="str">
        <f t="shared" si="64"/>
        <v/>
      </c>
      <c r="I417" s="64" t="str">
        <f t="shared" si="65"/>
        <v/>
      </c>
      <c r="J417" s="101"/>
      <c r="K417" s="101"/>
      <c r="L417" s="101"/>
      <c r="M417" s="68"/>
      <c r="O417" t="str">
        <f t="shared" si="59"/>
        <v/>
      </c>
      <c r="P417" t="str">
        <f t="shared" si="60"/>
        <v/>
      </c>
      <c r="Q417" t="str">
        <f t="shared" si="61"/>
        <v/>
      </c>
      <c r="R417" t="str">
        <f t="shared" si="62"/>
        <v/>
      </c>
    </row>
    <row r="418" spans="1:18">
      <c r="A418" s="64" t="str">
        <f>IF(C418="","",VLOOKUP('OPĆI DIO'!$C$3,'OPĆI DIO'!$L$6:$U$138,10,FALSE))</f>
        <v/>
      </c>
      <c r="B418" s="64" t="str">
        <f>IF(C418="","",VLOOKUP('OPĆI DIO'!$C$3,'OPĆI DIO'!$L$6:$U$138,9,FALSE))</f>
        <v/>
      </c>
      <c r="C418" s="69"/>
      <c r="D418" s="64" t="str">
        <f t="shared" si="63"/>
        <v/>
      </c>
      <c r="E418" s="69"/>
      <c r="F418" s="64" t="str">
        <f t="shared" si="66"/>
        <v/>
      </c>
      <c r="G418" s="102"/>
      <c r="H418" s="64" t="str">
        <f t="shared" si="64"/>
        <v/>
      </c>
      <c r="I418" s="64" t="str">
        <f t="shared" si="65"/>
        <v/>
      </c>
      <c r="J418" s="101"/>
      <c r="K418" s="101"/>
      <c r="L418" s="101"/>
      <c r="M418" s="68"/>
      <c r="O418" t="str">
        <f t="shared" si="59"/>
        <v/>
      </c>
      <c r="P418" t="str">
        <f t="shared" si="60"/>
        <v/>
      </c>
      <c r="Q418" t="str">
        <f t="shared" si="61"/>
        <v/>
      </c>
      <c r="R418" t="str">
        <f t="shared" si="62"/>
        <v/>
      </c>
    </row>
    <row r="419" spans="1:18">
      <c r="A419" s="64" t="str">
        <f>IF(C419="","",VLOOKUP('OPĆI DIO'!$C$3,'OPĆI DIO'!$L$6:$U$138,10,FALSE))</f>
        <v/>
      </c>
      <c r="B419" s="64" t="str">
        <f>IF(C419="","",VLOOKUP('OPĆI DIO'!$C$3,'OPĆI DIO'!$L$6:$U$138,9,FALSE))</f>
        <v/>
      </c>
      <c r="C419" s="69"/>
      <c r="D419" s="64" t="str">
        <f t="shared" si="63"/>
        <v/>
      </c>
      <c r="E419" s="69"/>
      <c r="F419" s="64" t="str">
        <f t="shared" si="66"/>
        <v/>
      </c>
      <c r="G419" s="102"/>
      <c r="H419" s="64" t="str">
        <f t="shared" si="64"/>
        <v/>
      </c>
      <c r="I419" s="64" t="str">
        <f t="shared" si="65"/>
        <v/>
      </c>
      <c r="J419" s="101"/>
      <c r="K419" s="101"/>
      <c r="L419" s="101"/>
      <c r="M419" s="68"/>
      <c r="O419" t="str">
        <f t="shared" si="59"/>
        <v/>
      </c>
      <c r="P419" t="str">
        <f t="shared" si="60"/>
        <v/>
      </c>
      <c r="Q419" t="str">
        <f t="shared" si="61"/>
        <v/>
      </c>
      <c r="R419" t="str">
        <f t="shared" si="62"/>
        <v/>
      </c>
    </row>
    <row r="420" spans="1:18">
      <c r="A420" s="64" t="str">
        <f>IF(C420="","",VLOOKUP('OPĆI DIO'!$C$3,'OPĆI DIO'!$L$6:$U$138,10,FALSE))</f>
        <v/>
      </c>
      <c r="B420" s="64" t="str">
        <f>IF(C420="","",VLOOKUP('OPĆI DIO'!$C$3,'OPĆI DIO'!$L$6:$U$138,9,FALSE))</f>
        <v/>
      </c>
      <c r="C420" s="69"/>
      <c r="D420" s="64" t="str">
        <f t="shared" si="63"/>
        <v/>
      </c>
      <c r="E420" s="69"/>
      <c r="F420" s="64" t="str">
        <f t="shared" si="66"/>
        <v/>
      </c>
      <c r="G420" s="102"/>
      <c r="H420" s="64" t="str">
        <f t="shared" si="64"/>
        <v/>
      </c>
      <c r="I420" s="64" t="str">
        <f t="shared" si="65"/>
        <v/>
      </c>
      <c r="J420" s="101"/>
      <c r="K420" s="101"/>
      <c r="L420" s="101"/>
      <c r="M420" s="68"/>
      <c r="O420" t="str">
        <f t="shared" si="59"/>
        <v/>
      </c>
      <c r="P420" t="str">
        <f t="shared" si="60"/>
        <v/>
      </c>
      <c r="Q420" t="str">
        <f t="shared" si="61"/>
        <v/>
      </c>
      <c r="R420" t="str">
        <f t="shared" si="62"/>
        <v/>
      </c>
    </row>
    <row r="421" spans="1:18">
      <c r="A421" s="64" t="str">
        <f>IF(C421="","",VLOOKUP('OPĆI DIO'!$C$3,'OPĆI DIO'!$L$6:$U$138,10,FALSE))</f>
        <v/>
      </c>
      <c r="B421" s="64" t="str">
        <f>IF(C421="","",VLOOKUP('OPĆI DIO'!$C$3,'OPĆI DIO'!$L$6:$U$138,9,FALSE))</f>
        <v/>
      </c>
      <c r="C421" s="69"/>
      <c r="D421" s="64" t="str">
        <f t="shared" si="63"/>
        <v/>
      </c>
      <c r="E421" s="69"/>
      <c r="F421" s="64" t="str">
        <f t="shared" si="66"/>
        <v/>
      </c>
      <c r="G421" s="102"/>
      <c r="H421" s="64" t="str">
        <f t="shared" si="64"/>
        <v/>
      </c>
      <c r="I421" s="64" t="str">
        <f t="shared" si="65"/>
        <v/>
      </c>
      <c r="J421" s="101"/>
      <c r="K421" s="101"/>
      <c r="L421" s="101"/>
      <c r="M421" s="68"/>
      <c r="O421" t="str">
        <f t="shared" si="59"/>
        <v/>
      </c>
      <c r="P421" t="str">
        <f t="shared" si="60"/>
        <v/>
      </c>
      <c r="Q421" t="str">
        <f t="shared" si="61"/>
        <v/>
      </c>
      <c r="R421" t="str">
        <f t="shared" si="62"/>
        <v/>
      </c>
    </row>
    <row r="422" spans="1:18">
      <c r="A422" s="64" t="str">
        <f>IF(C422="","",VLOOKUP('OPĆI DIO'!$C$3,'OPĆI DIO'!$L$6:$U$138,10,FALSE))</f>
        <v/>
      </c>
      <c r="B422" s="64" t="str">
        <f>IF(C422="","",VLOOKUP('OPĆI DIO'!$C$3,'OPĆI DIO'!$L$6:$U$138,9,FALSE))</f>
        <v/>
      </c>
      <c r="C422" s="69"/>
      <c r="D422" s="64" t="str">
        <f t="shared" si="63"/>
        <v/>
      </c>
      <c r="E422" s="69"/>
      <c r="F422" s="64" t="str">
        <f t="shared" si="66"/>
        <v/>
      </c>
      <c r="G422" s="102"/>
      <c r="H422" s="64" t="str">
        <f t="shared" si="64"/>
        <v/>
      </c>
      <c r="I422" s="64" t="str">
        <f t="shared" si="65"/>
        <v/>
      </c>
      <c r="J422" s="101"/>
      <c r="K422" s="101"/>
      <c r="L422" s="101"/>
      <c r="M422" s="68"/>
      <c r="O422" t="str">
        <f t="shared" si="59"/>
        <v/>
      </c>
      <c r="P422" t="str">
        <f t="shared" si="60"/>
        <v/>
      </c>
      <c r="Q422" t="str">
        <f t="shared" si="61"/>
        <v/>
      </c>
      <c r="R422" t="str">
        <f t="shared" si="62"/>
        <v/>
      </c>
    </row>
    <row r="423" spans="1:18">
      <c r="A423" s="64" t="str">
        <f>IF(C423="","",VLOOKUP('OPĆI DIO'!$C$3,'OPĆI DIO'!$L$6:$U$138,10,FALSE))</f>
        <v/>
      </c>
      <c r="B423" s="64" t="str">
        <f>IF(C423="","",VLOOKUP('OPĆI DIO'!$C$3,'OPĆI DIO'!$L$6:$U$138,9,FALSE))</f>
        <v/>
      </c>
      <c r="C423" s="69"/>
      <c r="D423" s="64" t="str">
        <f t="shared" si="63"/>
        <v/>
      </c>
      <c r="E423" s="69"/>
      <c r="F423" s="64" t="str">
        <f t="shared" si="66"/>
        <v/>
      </c>
      <c r="G423" s="102"/>
      <c r="H423" s="64" t="str">
        <f t="shared" si="64"/>
        <v/>
      </c>
      <c r="I423" s="64" t="str">
        <f t="shared" si="65"/>
        <v/>
      </c>
      <c r="J423" s="101"/>
      <c r="K423" s="101"/>
      <c r="L423" s="101"/>
      <c r="M423" s="68"/>
      <c r="O423" t="str">
        <f t="shared" si="59"/>
        <v/>
      </c>
      <c r="P423" t="str">
        <f t="shared" si="60"/>
        <v/>
      </c>
      <c r="Q423" t="str">
        <f t="shared" si="61"/>
        <v/>
      </c>
      <c r="R423" t="str">
        <f t="shared" si="62"/>
        <v/>
      </c>
    </row>
    <row r="424" spans="1:18">
      <c r="A424" s="64" t="str">
        <f>IF(C424="","",VLOOKUP('OPĆI DIO'!$C$3,'OPĆI DIO'!$L$6:$U$138,10,FALSE))</f>
        <v/>
      </c>
      <c r="B424" s="64" t="str">
        <f>IF(C424="","",VLOOKUP('OPĆI DIO'!$C$3,'OPĆI DIO'!$L$6:$U$138,9,FALSE))</f>
        <v/>
      </c>
      <c r="C424" s="69"/>
      <c r="D424" s="64" t="str">
        <f t="shared" si="63"/>
        <v/>
      </c>
      <c r="E424" s="69"/>
      <c r="F424" s="64" t="str">
        <f t="shared" si="66"/>
        <v/>
      </c>
      <c r="G424" s="102"/>
      <c r="H424" s="64" t="str">
        <f t="shared" si="64"/>
        <v/>
      </c>
      <c r="I424" s="64" t="str">
        <f t="shared" si="65"/>
        <v/>
      </c>
      <c r="J424" s="101"/>
      <c r="K424" s="101"/>
      <c r="L424" s="101"/>
      <c r="M424" s="68"/>
      <c r="O424" t="str">
        <f t="shared" si="59"/>
        <v/>
      </c>
      <c r="P424" t="str">
        <f t="shared" si="60"/>
        <v/>
      </c>
      <c r="Q424" t="str">
        <f t="shared" si="61"/>
        <v/>
      </c>
      <c r="R424" t="str">
        <f t="shared" si="62"/>
        <v/>
      </c>
    </row>
    <row r="425" spans="1:18">
      <c r="A425" s="64" t="str">
        <f>IF(C425="","",VLOOKUP('OPĆI DIO'!$C$3,'OPĆI DIO'!$L$6:$U$138,10,FALSE))</f>
        <v/>
      </c>
      <c r="B425" s="64" t="str">
        <f>IF(C425="","",VLOOKUP('OPĆI DIO'!$C$3,'OPĆI DIO'!$L$6:$U$138,9,FALSE))</f>
        <v/>
      </c>
      <c r="C425" s="69"/>
      <c r="D425" s="64" t="str">
        <f t="shared" si="63"/>
        <v/>
      </c>
      <c r="E425" s="69"/>
      <c r="F425" s="64" t="str">
        <f t="shared" si="66"/>
        <v/>
      </c>
      <c r="G425" s="102"/>
      <c r="H425" s="64" t="str">
        <f t="shared" si="64"/>
        <v/>
      </c>
      <c r="I425" s="64" t="str">
        <f t="shared" si="65"/>
        <v/>
      </c>
      <c r="J425" s="101"/>
      <c r="K425" s="101"/>
      <c r="L425" s="101"/>
      <c r="M425" s="68"/>
      <c r="O425" t="str">
        <f t="shared" si="59"/>
        <v/>
      </c>
      <c r="P425" t="str">
        <f t="shared" si="60"/>
        <v/>
      </c>
      <c r="Q425" t="str">
        <f t="shared" si="61"/>
        <v/>
      </c>
      <c r="R425" t="str">
        <f t="shared" si="62"/>
        <v/>
      </c>
    </row>
    <row r="426" spans="1:18">
      <c r="A426" s="64" t="str">
        <f>IF(C426="","",VLOOKUP('OPĆI DIO'!$C$3,'OPĆI DIO'!$L$6:$U$138,10,FALSE))</f>
        <v/>
      </c>
      <c r="B426" s="64" t="str">
        <f>IF(C426="","",VLOOKUP('OPĆI DIO'!$C$3,'OPĆI DIO'!$L$6:$U$138,9,FALSE))</f>
        <v/>
      </c>
      <c r="C426" s="69"/>
      <c r="D426" s="64" t="str">
        <f t="shared" si="63"/>
        <v/>
      </c>
      <c r="E426" s="69"/>
      <c r="F426" s="64" t="str">
        <f t="shared" si="66"/>
        <v/>
      </c>
      <c r="G426" s="102"/>
      <c r="H426" s="64" t="str">
        <f t="shared" si="64"/>
        <v/>
      </c>
      <c r="I426" s="64" t="str">
        <f t="shared" si="65"/>
        <v/>
      </c>
      <c r="J426" s="101"/>
      <c r="K426" s="101"/>
      <c r="L426" s="101"/>
      <c r="M426" s="68"/>
      <c r="O426" t="str">
        <f t="shared" si="59"/>
        <v/>
      </c>
      <c r="P426" t="str">
        <f t="shared" si="60"/>
        <v/>
      </c>
      <c r="Q426" t="str">
        <f t="shared" si="61"/>
        <v/>
      </c>
      <c r="R426" t="str">
        <f t="shared" si="62"/>
        <v/>
      </c>
    </row>
    <row r="427" spans="1:18">
      <c r="A427" s="64" t="str">
        <f>IF(C427="","",VLOOKUP('OPĆI DIO'!$C$3,'OPĆI DIO'!$L$6:$U$138,10,FALSE))</f>
        <v/>
      </c>
      <c r="B427" s="64" t="str">
        <f>IF(C427="","",VLOOKUP('OPĆI DIO'!$C$3,'OPĆI DIO'!$L$6:$U$138,9,FALSE))</f>
        <v/>
      </c>
      <c r="C427" s="69"/>
      <c r="D427" s="64" t="str">
        <f t="shared" si="63"/>
        <v/>
      </c>
      <c r="E427" s="69"/>
      <c r="F427" s="64" t="str">
        <f t="shared" si="66"/>
        <v/>
      </c>
      <c r="G427" s="102"/>
      <c r="H427" s="64" t="str">
        <f t="shared" si="64"/>
        <v/>
      </c>
      <c r="I427" s="64" t="str">
        <f t="shared" si="65"/>
        <v/>
      </c>
      <c r="J427" s="101"/>
      <c r="K427" s="101"/>
      <c r="L427" s="101"/>
      <c r="M427" s="68"/>
      <c r="O427" t="str">
        <f t="shared" si="59"/>
        <v/>
      </c>
      <c r="P427" t="str">
        <f t="shared" si="60"/>
        <v/>
      </c>
      <c r="Q427" t="str">
        <f t="shared" si="61"/>
        <v/>
      </c>
      <c r="R427" t="str">
        <f t="shared" si="62"/>
        <v/>
      </c>
    </row>
    <row r="428" spans="1:18">
      <c r="A428" s="64" t="str">
        <f>IF(C428="","",VLOOKUP('OPĆI DIO'!$C$3,'OPĆI DIO'!$L$6:$U$138,10,FALSE))</f>
        <v/>
      </c>
      <c r="B428" s="64" t="str">
        <f>IF(C428="","",VLOOKUP('OPĆI DIO'!$C$3,'OPĆI DIO'!$L$6:$U$138,9,FALSE))</f>
        <v/>
      </c>
      <c r="C428" s="69"/>
      <c r="D428" s="64" t="str">
        <f t="shared" si="63"/>
        <v/>
      </c>
      <c r="E428" s="69"/>
      <c r="F428" s="64" t="str">
        <f t="shared" si="66"/>
        <v/>
      </c>
      <c r="G428" s="102"/>
      <c r="H428" s="64" t="str">
        <f t="shared" si="64"/>
        <v/>
      </c>
      <c r="I428" s="64" t="str">
        <f t="shared" si="65"/>
        <v/>
      </c>
      <c r="J428" s="101"/>
      <c r="K428" s="101"/>
      <c r="L428" s="101"/>
      <c r="M428" s="68"/>
      <c r="O428" t="str">
        <f t="shared" si="59"/>
        <v/>
      </c>
      <c r="P428" t="str">
        <f t="shared" si="60"/>
        <v/>
      </c>
      <c r="Q428" t="str">
        <f t="shared" si="61"/>
        <v/>
      </c>
      <c r="R428" t="str">
        <f t="shared" si="62"/>
        <v/>
      </c>
    </row>
    <row r="429" spans="1:18">
      <c r="A429" s="64" t="str">
        <f>IF(C429="","",VLOOKUP('OPĆI DIO'!$C$3,'OPĆI DIO'!$L$6:$U$138,10,FALSE))</f>
        <v/>
      </c>
      <c r="B429" s="64" t="str">
        <f>IF(C429="","",VLOOKUP('OPĆI DIO'!$C$3,'OPĆI DIO'!$L$6:$U$138,9,FALSE))</f>
        <v/>
      </c>
      <c r="C429" s="69"/>
      <c r="D429" s="64" t="str">
        <f t="shared" si="63"/>
        <v/>
      </c>
      <c r="E429" s="69"/>
      <c r="F429" s="64" t="str">
        <f t="shared" si="66"/>
        <v/>
      </c>
      <c r="G429" s="102"/>
      <c r="H429" s="64" t="str">
        <f t="shared" si="64"/>
        <v/>
      </c>
      <c r="I429" s="64" t="str">
        <f t="shared" si="65"/>
        <v/>
      </c>
      <c r="J429" s="101"/>
      <c r="K429" s="101"/>
      <c r="L429" s="101"/>
      <c r="M429" s="68"/>
      <c r="O429" t="str">
        <f t="shared" si="59"/>
        <v/>
      </c>
      <c r="P429" t="str">
        <f t="shared" si="60"/>
        <v/>
      </c>
      <c r="Q429" t="str">
        <f t="shared" si="61"/>
        <v/>
      </c>
      <c r="R429" t="str">
        <f t="shared" si="62"/>
        <v/>
      </c>
    </row>
    <row r="430" spans="1:18">
      <c r="A430" s="64" t="str">
        <f>IF(C430="","",VLOOKUP('OPĆI DIO'!$C$3,'OPĆI DIO'!$L$6:$U$138,10,FALSE))</f>
        <v/>
      </c>
      <c r="B430" s="64" t="str">
        <f>IF(C430="","",VLOOKUP('OPĆI DIO'!$C$3,'OPĆI DIO'!$L$6:$U$138,9,FALSE))</f>
        <v/>
      </c>
      <c r="C430" s="69"/>
      <c r="D430" s="64" t="str">
        <f t="shared" si="63"/>
        <v/>
      </c>
      <c r="E430" s="69"/>
      <c r="F430" s="64" t="str">
        <f t="shared" si="66"/>
        <v/>
      </c>
      <c r="G430" s="102"/>
      <c r="H430" s="64" t="str">
        <f t="shared" si="64"/>
        <v/>
      </c>
      <c r="I430" s="64" t="str">
        <f t="shared" si="65"/>
        <v/>
      </c>
      <c r="J430" s="101"/>
      <c r="K430" s="101"/>
      <c r="L430" s="101"/>
      <c r="M430" s="68"/>
      <c r="O430" t="str">
        <f t="shared" si="59"/>
        <v/>
      </c>
      <c r="P430" t="str">
        <f t="shared" si="60"/>
        <v/>
      </c>
      <c r="Q430" t="str">
        <f t="shared" si="61"/>
        <v/>
      </c>
      <c r="R430" t="str">
        <f t="shared" si="62"/>
        <v/>
      </c>
    </row>
    <row r="431" spans="1:18">
      <c r="A431" s="64" t="str">
        <f>IF(C431="","",VLOOKUP('OPĆI DIO'!$C$3,'OPĆI DIO'!$L$6:$U$138,10,FALSE))</f>
        <v/>
      </c>
      <c r="B431" s="64" t="str">
        <f>IF(C431="","",VLOOKUP('OPĆI DIO'!$C$3,'OPĆI DIO'!$L$6:$U$138,9,FALSE))</f>
        <v/>
      </c>
      <c r="C431" s="69"/>
      <c r="D431" s="64" t="str">
        <f t="shared" si="63"/>
        <v/>
      </c>
      <c r="E431" s="69"/>
      <c r="F431" s="64" t="str">
        <f t="shared" si="66"/>
        <v/>
      </c>
      <c r="G431" s="102"/>
      <c r="H431" s="64" t="str">
        <f t="shared" si="64"/>
        <v/>
      </c>
      <c r="I431" s="64" t="str">
        <f t="shared" si="65"/>
        <v/>
      </c>
      <c r="J431" s="101"/>
      <c r="K431" s="101"/>
      <c r="L431" s="101"/>
      <c r="M431" s="68"/>
      <c r="O431" t="str">
        <f t="shared" si="59"/>
        <v/>
      </c>
      <c r="P431" t="str">
        <f t="shared" si="60"/>
        <v/>
      </c>
      <c r="Q431" t="str">
        <f t="shared" si="61"/>
        <v/>
      </c>
      <c r="R431" t="str">
        <f t="shared" si="62"/>
        <v/>
      </c>
    </row>
    <row r="432" spans="1:18">
      <c r="A432" s="64" t="str">
        <f>IF(C432="","",VLOOKUP('OPĆI DIO'!$C$3,'OPĆI DIO'!$L$6:$U$138,10,FALSE))</f>
        <v/>
      </c>
      <c r="B432" s="64" t="str">
        <f>IF(C432="","",VLOOKUP('OPĆI DIO'!$C$3,'OPĆI DIO'!$L$6:$U$138,9,FALSE))</f>
        <v/>
      </c>
      <c r="C432" s="69"/>
      <c r="D432" s="64" t="str">
        <f t="shared" si="63"/>
        <v/>
      </c>
      <c r="E432" s="69"/>
      <c r="F432" s="64" t="str">
        <f t="shared" si="66"/>
        <v/>
      </c>
      <c r="G432" s="102"/>
      <c r="H432" s="64" t="str">
        <f t="shared" si="64"/>
        <v/>
      </c>
      <c r="I432" s="64" t="str">
        <f t="shared" si="65"/>
        <v/>
      </c>
      <c r="J432" s="101"/>
      <c r="K432" s="101"/>
      <c r="L432" s="101"/>
      <c r="M432" s="68"/>
      <c r="O432" t="str">
        <f t="shared" si="59"/>
        <v/>
      </c>
      <c r="P432" t="str">
        <f t="shared" si="60"/>
        <v/>
      </c>
      <c r="Q432" t="str">
        <f t="shared" si="61"/>
        <v/>
      </c>
      <c r="R432" t="str">
        <f t="shared" si="62"/>
        <v/>
      </c>
    </row>
    <row r="433" spans="1:18">
      <c r="A433" s="64" t="str">
        <f>IF(C433="","",VLOOKUP('OPĆI DIO'!$C$3,'OPĆI DIO'!$L$6:$U$138,10,FALSE))</f>
        <v/>
      </c>
      <c r="B433" s="64" t="str">
        <f>IF(C433="","",VLOOKUP('OPĆI DIO'!$C$3,'OPĆI DIO'!$L$6:$U$138,9,FALSE))</f>
        <v/>
      </c>
      <c r="C433" s="69"/>
      <c r="D433" s="64" t="str">
        <f t="shared" si="63"/>
        <v/>
      </c>
      <c r="E433" s="69"/>
      <c r="F433" s="64" t="str">
        <f t="shared" si="66"/>
        <v/>
      </c>
      <c r="G433" s="102"/>
      <c r="H433" s="64" t="str">
        <f t="shared" si="64"/>
        <v/>
      </c>
      <c r="I433" s="64" t="str">
        <f t="shared" si="65"/>
        <v/>
      </c>
      <c r="J433" s="101"/>
      <c r="K433" s="101"/>
      <c r="L433" s="101"/>
      <c r="M433" s="68"/>
      <c r="O433" t="str">
        <f t="shared" si="59"/>
        <v/>
      </c>
      <c r="P433" t="str">
        <f t="shared" si="60"/>
        <v/>
      </c>
      <c r="Q433" t="str">
        <f t="shared" si="61"/>
        <v/>
      </c>
      <c r="R433" t="str">
        <f t="shared" si="62"/>
        <v/>
      </c>
    </row>
    <row r="434" spans="1:18">
      <c r="A434" s="64" t="str">
        <f>IF(C434="","",VLOOKUP('OPĆI DIO'!$C$3,'OPĆI DIO'!$L$6:$U$138,10,FALSE))</f>
        <v/>
      </c>
      <c r="B434" s="64" t="str">
        <f>IF(C434="","",VLOOKUP('OPĆI DIO'!$C$3,'OPĆI DIO'!$L$6:$U$138,9,FALSE))</f>
        <v/>
      </c>
      <c r="C434" s="69"/>
      <c r="D434" s="64" t="str">
        <f t="shared" si="63"/>
        <v/>
      </c>
      <c r="E434" s="69"/>
      <c r="F434" s="64" t="str">
        <f t="shared" si="66"/>
        <v/>
      </c>
      <c r="G434" s="102"/>
      <c r="H434" s="64" t="str">
        <f t="shared" si="64"/>
        <v/>
      </c>
      <c r="I434" s="64" t="str">
        <f t="shared" si="65"/>
        <v/>
      </c>
      <c r="J434" s="101"/>
      <c r="K434" s="101"/>
      <c r="L434" s="101"/>
      <c r="M434" s="68"/>
      <c r="O434" t="str">
        <f t="shared" si="59"/>
        <v/>
      </c>
      <c r="P434" t="str">
        <f t="shared" si="60"/>
        <v/>
      </c>
      <c r="Q434" t="str">
        <f t="shared" si="61"/>
        <v/>
      </c>
      <c r="R434" t="str">
        <f t="shared" si="62"/>
        <v/>
      </c>
    </row>
    <row r="435" spans="1:18">
      <c r="A435" s="64" t="str">
        <f>IF(C435="","",VLOOKUP('OPĆI DIO'!$C$3,'OPĆI DIO'!$L$6:$U$138,10,FALSE))</f>
        <v/>
      </c>
      <c r="B435" s="64" t="str">
        <f>IF(C435="","",VLOOKUP('OPĆI DIO'!$C$3,'OPĆI DIO'!$L$6:$U$138,9,FALSE))</f>
        <v/>
      </c>
      <c r="C435" s="69"/>
      <c r="D435" s="64" t="str">
        <f t="shared" si="63"/>
        <v/>
      </c>
      <c r="E435" s="69"/>
      <c r="F435" s="64" t="str">
        <f t="shared" si="66"/>
        <v/>
      </c>
      <c r="G435" s="102"/>
      <c r="H435" s="64" t="str">
        <f t="shared" si="64"/>
        <v/>
      </c>
      <c r="I435" s="64" t="str">
        <f t="shared" si="65"/>
        <v/>
      </c>
      <c r="J435" s="101"/>
      <c r="K435" s="101"/>
      <c r="L435" s="101"/>
      <c r="M435" s="68"/>
      <c r="O435" t="str">
        <f t="shared" si="59"/>
        <v/>
      </c>
      <c r="P435" t="str">
        <f t="shared" si="60"/>
        <v/>
      </c>
      <c r="Q435" t="str">
        <f t="shared" si="61"/>
        <v/>
      </c>
      <c r="R435" t="str">
        <f t="shared" si="62"/>
        <v/>
      </c>
    </row>
    <row r="436" spans="1:18">
      <c r="A436" s="64" t="str">
        <f>IF(C436="","",VLOOKUP('OPĆI DIO'!$C$3,'OPĆI DIO'!$L$6:$U$138,10,FALSE))</f>
        <v/>
      </c>
      <c r="B436" s="64" t="str">
        <f>IF(C436="","",VLOOKUP('OPĆI DIO'!$C$3,'OPĆI DIO'!$L$6:$U$138,9,FALSE))</f>
        <v/>
      </c>
      <c r="C436" s="69"/>
      <c r="D436" s="64" t="str">
        <f t="shared" si="63"/>
        <v/>
      </c>
      <c r="E436" s="69"/>
      <c r="F436" s="64" t="str">
        <f t="shared" si="66"/>
        <v/>
      </c>
      <c r="G436" s="102"/>
      <c r="H436" s="64" t="str">
        <f t="shared" si="64"/>
        <v/>
      </c>
      <c r="I436" s="64" t="str">
        <f t="shared" si="65"/>
        <v/>
      </c>
      <c r="J436" s="101"/>
      <c r="K436" s="101"/>
      <c r="L436" s="101"/>
      <c r="M436" s="68"/>
      <c r="O436" t="str">
        <f t="shared" si="59"/>
        <v/>
      </c>
      <c r="P436" t="str">
        <f t="shared" si="60"/>
        <v/>
      </c>
      <c r="Q436" t="str">
        <f t="shared" si="61"/>
        <v/>
      </c>
      <c r="R436" t="str">
        <f t="shared" si="62"/>
        <v/>
      </c>
    </row>
    <row r="437" spans="1:18">
      <c r="A437" s="64" t="str">
        <f>IF(C437="","",VLOOKUP('OPĆI DIO'!$C$3,'OPĆI DIO'!$L$6:$U$138,10,FALSE))</f>
        <v/>
      </c>
      <c r="B437" s="64" t="str">
        <f>IF(C437="","",VLOOKUP('OPĆI DIO'!$C$3,'OPĆI DIO'!$L$6:$U$138,9,FALSE))</f>
        <v/>
      </c>
      <c r="C437" s="69"/>
      <c r="D437" s="64" t="str">
        <f t="shared" si="63"/>
        <v/>
      </c>
      <c r="E437" s="69"/>
      <c r="F437" s="64" t="str">
        <f t="shared" si="66"/>
        <v/>
      </c>
      <c r="G437" s="102"/>
      <c r="H437" s="64" t="str">
        <f t="shared" si="64"/>
        <v/>
      </c>
      <c r="I437" s="64" t="str">
        <f t="shared" si="65"/>
        <v/>
      </c>
      <c r="J437" s="101"/>
      <c r="K437" s="101"/>
      <c r="L437" s="101"/>
      <c r="M437" s="68"/>
      <c r="O437" t="str">
        <f t="shared" si="59"/>
        <v/>
      </c>
      <c r="P437" t="str">
        <f t="shared" si="60"/>
        <v/>
      </c>
      <c r="Q437" t="str">
        <f t="shared" si="61"/>
        <v/>
      </c>
      <c r="R437" t="str">
        <f t="shared" si="62"/>
        <v/>
      </c>
    </row>
    <row r="438" spans="1:18">
      <c r="A438" s="64" t="str">
        <f>IF(C438="","",VLOOKUP('OPĆI DIO'!$C$3,'OPĆI DIO'!$L$6:$U$138,10,FALSE))</f>
        <v/>
      </c>
      <c r="B438" s="64" t="str">
        <f>IF(C438="","",VLOOKUP('OPĆI DIO'!$C$3,'OPĆI DIO'!$L$6:$U$138,9,FALSE))</f>
        <v/>
      </c>
      <c r="C438" s="69"/>
      <c r="D438" s="64" t="str">
        <f t="shared" si="63"/>
        <v/>
      </c>
      <c r="E438" s="69"/>
      <c r="F438" s="64" t="str">
        <f t="shared" si="66"/>
        <v/>
      </c>
      <c r="G438" s="102"/>
      <c r="H438" s="64" t="str">
        <f t="shared" si="64"/>
        <v/>
      </c>
      <c r="I438" s="64" t="str">
        <f t="shared" si="65"/>
        <v/>
      </c>
      <c r="J438" s="101"/>
      <c r="K438" s="101"/>
      <c r="L438" s="101"/>
      <c r="M438" s="68"/>
      <c r="O438" t="str">
        <f t="shared" si="59"/>
        <v/>
      </c>
      <c r="P438" t="str">
        <f t="shared" si="60"/>
        <v/>
      </c>
      <c r="Q438" t="str">
        <f t="shared" si="61"/>
        <v/>
      </c>
      <c r="R438" t="str">
        <f t="shared" si="62"/>
        <v/>
      </c>
    </row>
    <row r="439" spans="1:18">
      <c r="A439" s="64" t="str">
        <f>IF(C439="","",VLOOKUP('OPĆI DIO'!$C$3,'OPĆI DIO'!$L$6:$U$138,10,FALSE))</f>
        <v/>
      </c>
      <c r="B439" s="64" t="str">
        <f>IF(C439="","",VLOOKUP('OPĆI DIO'!$C$3,'OPĆI DIO'!$L$6:$U$138,9,FALSE))</f>
        <v/>
      </c>
      <c r="C439" s="69"/>
      <c r="D439" s="64" t="str">
        <f t="shared" si="63"/>
        <v/>
      </c>
      <c r="E439" s="69"/>
      <c r="F439" s="64" t="str">
        <f t="shared" si="66"/>
        <v/>
      </c>
      <c r="G439" s="102"/>
      <c r="H439" s="64" t="str">
        <f t="shared" si="64"/>
        <v/>
      </c>
      <c r="I439" s="64" t="str">
        <f t="shared" si="65"/>
        <v/>
      </c>
      <c r="J439" s="101"/>
      <c r="K439" s="101"/>
      <c r="L439" s="101"/>
      <c r="M439" s="68"/>
      <c r="O439" t="str">
        <f t="shared" si="59"/>
        <v/>
      </c>
      <c r="P439" t="str">
        <f t="shared" si="60"/>
        <v/>
      </c>
      <c r="Q439" t="str">
        <f t="shared" si="61"/>
        <v/>
      </c>
      <c r="R439" t="str">
        <f t="shared" si="62"/>
        <v/>
      </c>
    </row>
    <row r="440" spans="1:18">
      <c r="A440" s="64" t="str">
        <f>IF(C440="","",VLOOKUP('OPĆI DIO'!$C$3,'OPĆI DIO'!$L$6:$U$138,10,FALSE))</f>
        <v/>
      </c>
      <c r="B440" s="64" t="str">
        <f>IF(C440="","",VLOOKUP('OPĆI DIO'!$C$3,'OPĆI DIO'!$L$6:$U$138,9,FALSE))</f>
        <v/>
      </c>
      <c r="C440" s="69"/>
      <c r="D440" s="64" t="str">
        <f t="shared" si="63"/>
        <v/>
      </c>
      <c r="E440" s="69"/>
      <c r="F440" s="64" t="str">
        <f t="shared" si="66"/>
        <v/>
      </c>
      <c r="G440" s="102"/>
      <c r="H440" s="64" t="str">
        <f t="shared" si="64"/>
        <v/>
      </c>
      <c r="I440" s="64" t="str">
        <f t="shared" si="65"/>
        <v/>
      </c>
      <c r="J440" s="101"/>
      <c r="K440" s="101"/>
      <c r="L440" s="101"/>
      <c r="M440" s="68"/>
      <c r="O440" t="str">
        <f t="shared" si="59"/>
        <v/>
      </c>
      <c r="P440" t="str">
        <f t="shared" si="60"/>
        <v/>
      </c>
      <c r="Q440" t="str">
        <f t="shared" si="61"/>
        <v/>
      </c>
      <c r="R440" t="str">
        <f t="shared" si="62"/>
        <v/>
      </c>
    </row>
    <row r="441" spans="1:18">
      <c r="A441" s="64" t="str">
        <f>IF(C441="","",VLOOKUP('OPĆI DIO'!$C$3,'OPĆI DIO'!$L$6:$U$138,10,FALSE))</f>
        <v/>
      </c>
      <c r="B441" s="64" t="str">
        <f>IF(C441="","",VLOOKUP('OPĆI DIO'!$C$3,'OPĆI DIO'!$L$6:$U$138,9,FALSE))</f>
        <v/>
      </c>
      <c r="C441" s="69"/>
      <c r="D441" s="64" t="str">
        <f t="shared" si="63"/>
        <v/>
      </c>
      <c r="E441" s="69"/>
      <c r="F441" s="64" t="str">
        <f t="shared" si="66"/>
        <v/>
      </c>
      <c r="G441" s="102"/>
      <c r="H441" s="64" t="str">
        <f t="shared" si="64"/>
        <v/>
      </c>
      <c r="I441" s="64" t="str">
        <f t="shared" si="65"/>
        <v/>
      </c>
      <c r="J441" s="101"/>
      <c r="K441" s="101"/>
      <c r="L441" s="101"/>
      <c r="M441" s="68"/>
      <c r="O441" t="str">
        <f t="shared" si="59"/>
        <v/>
      </c>
      <c r="P441" t="str">
        <f t="shared" si="60"/>
        <v/>
      </c>
      <c r="Q441" t="str">
        <f t="shared" si="61"/>
        <v/>
      </c>
      <c r="R441" t="str">
        <f t="shared" si="62"/>
        <v/>
      </c>
    </row>
    <row r="442" spans="1:18">
      <c r="A442" s="64" t="str">
        <f>IF(C442="","",VLOOKUP('OPĆI DIO'!$C$3,'OPĆI DIO'!$L$6:$U$138,10,FALSE))</f>
        <v/>
      </c>
      <c r="B442" s="64" t="str">
        <f>IF(C442="","",VLOOKUP('OPĆI DIO'!$C$3,'OPĆI DIO'!$L$6:$U$138,9,FALSE))</f>
        <v/>
      </c>
      <c r="C442" s="69"/>
      <c r="D442" s="64" t="str">
        <f t="shared" si="63"/>
        <v/>
      </c>
      <c r="E442" s="69"/>
      <c r="F442" s="64" t="str">
        <f t="shared" si="66"/>
        <v/>
      </c>
      <c r="G442" s="102"/>
      <c r="H442" s="64" t="str">
        <f t="shared" si="64"/>
        <v/>
      </c>
      <c r="I442" s="64" t="str">
        <f t="shared" si="65"/>
        <v/>
      </c>
      <c r="J442" s="101"/>
      <c r="K442" s="101"/>
      <c r="L442" s="101"/>
      <c r="M442" s="68"/>
      <c r="O442" t="str">
        <f t="shared" si="59"/>
        <v/>
      </c>
      <c r="P442" t="str">
        <f t="shared" si="60"/>
        <v/>
      </c>
      <c r="Q442" t="str">
        <f t="shared" si="61"/>
        <v/>
      </c>
      <c r="R442" t="str">
        <f t="shared" si="62"/>
        <v/>
      </c>
    </row>
    <row r="443" spans="1:18">
      <c r="A443" s="64" t="str">
        <f>IF(C443="","",VLOOKUP('OPĆI DIO'!$C$3,'OPĆI DIO'!$L$6:$U$138,10,FALSE))</f>
        <v/>
      </c>
      <c r="B443" s="64" t="str">
        <f>IF(C443="","",VLOOKUP('OPĆI DIO'!$C$3,'OPĆI DIO'!$L$6:$U$138,9,FALSE))</f>
        <v/>
      </c>
      <c r="C443" s="69"/>
      <c r="D443" s="64" t="str">
        <f t="shared" si="63"/>
        <v/>
      </c>
      <c r="E443" s="69"/>
      <c r="F443" s="64" t="str">
        <f t="shared" si="66"/>
        <v/>
      </c>
      <c r="G443" s="102"/>
      <c r="H443" s="64" t="str">
        <f t="shared" si="64"/>
        <v/>
      </c>
      <c r="I443" s="64" t="str">
        <f t="shared" si="65"/>
        <v/>
      </c>
      <c r="J443" s="101"/>
      <c r="K443" s="101"/>
      <c r="L443" s="101"/>
      <c r="M443" s="68"/>
      <c r="O443" t="str">
        <f t="shared" si="59"/>
        <v/>
      </c>
      <c r="P443" t="str">
        <f t="shared" si="60"/>
        <v/>
      </c>
      <c r="Q443" t="str">
        <f t="shared" si="61"/>
        <v/>
      </c>
      <c r="R443" t="str">
        <f t="shared" si="62"/>
        <v/>
      </c>
    </row>
    <row r="444" spans="1:18">
      <c r="A444" s="64" t="str">
        <f>IF(C444="","",VLOOKUP('OPĆI DIO'!$C$3,'OPĆI DIO'!$L$6:$U$138,10,FALSE))</f>
        <v/>
      </c>
      <c r="B444" s="64" t="str">
        <f>IF(C444="","",VLOOKUP('OPĆI DIO'!$C$3,'OPĆI DIO'!$L$6:$U$138,9,FALSE))</f>
        <v/>
      </c>
      <c r="C444" s="69"/>
      <c r="D444" s="64" t="str">
        <f t="shared" si="63"/>
        <v/>
      </c>
      <c r="E444" s="69"/>
      <c r="F444" s="64" t="str">
        <f t="shared" si="66"/>
        <v/>
      </c>
      <c r="G444" s="102"/>
      <c r="H444" s="64" t="str">
        <f t="shared" si="64"/>
        <v/>
      </c>
      <c r="I444" s="64" t="str">
        <f t="shared" si="65"/>
        <v/>
      </c>
      <c r="J444" s="101"/>
      <c r="K444" s="101"/>
      <c r="L444" s="101"/>
      <c r="M444" s="68"/>
      <c r="O444" t="str">
        <f t="shared" si="59"/>
        <v/>
      </c>
      <c r="P444" t="str">
        <f t="shared" si="60"/>
        <v/>
      </c>
      <c r="Q444" t="str">
        <f t="shared" si="61"/>
        <v/>
      </c>
      <c r="R444" t="str">
        <f t="shared" si="62"/>
        <v/>
      </c>
    </row>
    <row r="445" spans="1:18">
      <c r="A445" s="64" t="str">
        <f>IF(C445="","",VLOOKUP('OPĆI DIO'!$C$3,'OPĆI DIO'!$L$6:$U$138,10,FALSE))</f>
        <v/>
      </c>
      <c r="B445" s="64" t="str">
        <f>IF(C445="","",VLOOKUP('OPĆI DIO'!$C$3,'OPĆI DIO'!$L$6:$U$138,9,FALSE))</f>
        <v/>
      </c>
      <c r="C445" s="69"/>
      <c r="D445" s="64" t="str">
        <f t="shared" si="63"/>
        <v/>
      </c>
      <c r="E445" s="69"/>
      <c r="F445" s="64" t="str">
        <f t="shared" si="66"/>
        <v/>
      </c>
      <c r="G445" s="102"/>
      <c r="H445" s="64" t="str">
        <f t="shared" si="64"/>
        <v/>
      </c>
      <c r="I445" s="64" t="str">
        <f t="shared" si="65"/>
        <v/>
      </c>
      <c r="J445" s="101"/>
      <c r="K445" s="101"/>
      <c r="L445" s="101"/>
      <c r="M445" s="68"/>
      <c r="O445" t="str">
        <f t="shared" si="59"/>
        <v/>
      </c>
      <c r="P445" t="str">
        <f t="shared" si="60"/>
        <v/>
      </c>
      <c r="Q445" t="str">
        <f t="shared" si="61"/>
        <v/>
      </c>
      <c r="R445" t="str">
        <f t="shared" si="62"/>
        <v/>
      </c>
    </row>
    <row r="446" spans="1:18">
      <c r="A446" s="64" t="str">
        <f>IF(C446="","",VLOOKUP('OPĆI DIO'!$C$3,'OPĆI DIO'!$L$6:$U$138,10,FALSE))</f>
        <v/>
      </c>
      <c r="B446" s="64" t="str">
        <f>IF(C446="","",VLOOKUP('OPĆI DIO'!$C$3,'OPĆI DIO'!$L$6:$U$138,9,FALSE))</f>
        <v/>
      </c>
      <c r="C446" s="69"/>
      <c r="D446" s="64" t="str">
        <f t="shared" si="63"/>
        <v/>
      </c>
      <c r="E446" s="69"/>
      <c r="F446" s="64" t="str">
        <f t="shared" si="66"/>
        <v/>
      </c>
      <c r="G446" s="102"/>
      <c r="H446" s="64" t="str">
        <f t="shared" si="64"/>
        <v/>
      </c>
      <c r="I446" s="64" t="str">
        <f t="shared" si="65"/>
        <v/>
      </c>
      <c r="J446" s="101"/>
      <c r="K446" s="101"/>
      <c r="L446" s="101"/>
      <c r="M446" s="68"/>
      <c r="O446" t="str">
        <f t="shared" si="59"/>
        <v/>
      </c>
      <c r="P446" t="str">
        <f t="shared" si="60"/>
        <v/>
      </c>
      <c r="Q446" t="str">
        <f t="shared" si="61"/>
        <v/>
      </c>
      <c r="R446" t="str">
        <f t="shared" si="62"/>
        <v/>
      </c>
    </row>
    <row r="447" spans="1:18">
      <c r="A447" s="64" t="str">
        <f>IF(C447="","",VLOOKUP('OPĆI DIO'!$C$3,'OPĆI DIO'!$L$6:$U$138,10,FALSE))</f>
        <v/>
      </c>
      <c r="B447" s="64" t="str">
        <f>IF(C447="","",VLOOKUP('OPĆI DIO'!$C$3,'OPĆI DIO'!$L$6:$U$138,9,FALSE))</f>
        <v/>
      </c>
      <c r="C447" s="69"/>
      <c r="D447" s="64" t="str">
        <f t="shared" si="63"/>
        <v/>
      </c>
      <c r="E447" s="69"/>
      <c r="F447" s="64" t="str">
        <f t="shared" si="66"/>
        <v/>
      </c>
      <c r="G447" s="102"/>
      <c r="H447" s="64" t="str">
        <f t="shared" si="64"/>
        <v/>
      </c>
      <c r="I447" s="64" t="str">
        <f t="shared" si="65"/>
        <v/>
      </c>
      <c r="J447" s="101"/>
      <c r="K447" s="101"/>
      <c r="L447" s="101"/>
      <c r="M447" s="68"/>
      <c r="O447" t="str">
        <f t="shared" si="59"/>
        <v/>
      </c>
      <c r="P447" t="str">
        <f t="shared" si="60"/>
        <v/>
      </c>
      <c r="Q447" t="str">
        <f t="shared" si="61"/>
        <v/>
      </c>
      <c r="R447" t="str">
        <f t="shared" si="62"/>
        <v/>
      </c>
    </row>
    <row r="448" spans="1:18">
      <c r="A448" s="64" t="str">
        <f>IF(C448="","",VLOOKUP('OPĆI DIO'!$C$3,'OPĆI DIO'!$L$6:$U$138,10,FALSE))</f>
        <v/>
      </c>
      <c r="B448" s="64" t="str">
        <f>IF(C448="","",VLOOKUP('OPĆI DIO'!$C$3,'OPĆI DIO'!$L$6:$U$138,9,FALSE))</f>
        <v/>
      </c>
      <c r="C448" s="69"/>
      <c r="D448" s="64" t="str">
        <f t="shared" si="63"/>
        <v/>
      </c>
      <c r="E448" s="69"/>
      <c r="F448" s="64" t="str">
        <f t="shared" si="66"/>
        <v/>
      </c>
      <c r="G448" s="102"/>
      <c r="H448" s="64" t="str">
        <f t="shared" si="64"/>
        <v/>
      </c>
      <c r="I448" s="64" t="str">
        <f t="shared" si="65"/>
        <v/>
      </c>
      <c r="J448" s="101"/>
      <c r="K448" s="101"/>
      <c r="L448" s="101"/>
      <c r="M448" s="68"/>
      <c r="O448" t="str">
        <f t="shared" si="59"/>
        <v/>
      </c>
      <c r="P448" t="str">
        <f t="shared" si="60"/>
        <v/>
      </c>
      <c r="Q448" t="str">
        <f t="shared" si="61"/>
        <v/>
      </c>
      <c r="R448" t="str">
        <f t="shared" si="62"/>
        <v/>
      </c>
    </row>
    <row r="449" spans="1:18">
      <c r="A449" s="64" t="str">
        <f>IF(C449="","",VLOOKUP('OPĆI DIO'!$C$3,'OPĆI DIO'!$L$6:$U$138,10,FALSE))</f>
        <v/>
      </c>
      <c r="B449" s="64" t="str">
        <f>IF(C449="","",VLOOKUP('OPĆI DIO'!$C$3,'OPĆI DIO'!$L$6:$U$138,9,FALSE))</f>
        <v/>
      </c>
      <c r="C449" s="69"/>
      <c r="D449" s="64" t="str">
        <f t="shared" si="63"/>
        <v/>
      </c>
      <c r="E449" s="69"/>
      <c r="F449" s="64" t="str">
        <f t="shared" si="66"/>
        <v/>
      </c>
      <c r="G449" s="102"/>
      <c r="H449" s="64" t="str">
        <f t="shared" si="64"/>
        <v/>
      </c>
      <c r="I449" s="64" t="str">
        <f t="shared" si="65"/>
        <v/>
      </c>
      <c r="J449" s="101"/>
      <c r="K449" s="101"/>
      <c r="L449" s="101"/>
      <c r="M449" s="68"/>
      <c r="O449" t="str">
        <f t="shared" ref="O449:O498" si="67">LEFT(E449,3)</f>
        <v/>
      </c>
      <c r="P449" t="str">
        <f t="shared" ref="P449:P498" si="68">LEFT(E449,2)</f>
        <v/>
      </c>
      <c r="Q449" t="str">
        <f t="shared" ref="Q449:Q498" si="69">LEFT(C449,3)</f>
        <v/>
      </c>
      <c r="R449" t="str">
        <f t="shared" ref="R449:R498" si="70">MID(I449,2,2)</f>
        <v/>
      </c>
    </row>
    <row r="450" spans="1:18">
      <c r="A450" s="64" t="str">
        <f>IF(C450="","",VLOOKUP('OPĆI DIO'!$C$3,'OPĆI DIO'!$L$6:$U$138,10,FALSE))</f>
        <v/>
      </c>
      <c r="B450" s="64" t="str">
        <f>IF(C450="","",VLOOKUP('OPĆI DIO'!$C$3,'OPĆI DIO'!$L$6:$U$138,9,FALSE))</f>
        <v/>
      </c>
      <c r="C450" s="69"/>
      <c r="D450" s="64" t="str">
        <f t="shared" si="63"/>
        <v/>
      </c>
      <c r="E450" s="69"/>
      <c r="F450" s="64" t="str">
        <f t="shared" si="66"/>
        <v/>
      </c>
      <c r="G450" s="102"/>
      <c r="H450" s="64" t="str">
        <f t="shared" si="64"/>
        <v/>
      </c>
      <c r="I450" s="64" t="str">
        <f t="shared" si="65"/>
        <v/>
      </c>
      <c r="J450" s="101"/>
      <c r="K450" s="101"/>
      <c r="L450" s="101"/>
      <c r="M450" s="68"/>
      <c r="O450" t="str">
        <f t="shared" si="67"/>
        <v/>
      </c>
      <c r="P450" t="str">
        <f t="shared" si="68"/>
        <v/>
      </c>
      <c r="Q450" t="str">
        <f t="shared" si="69"/>
        <v/>
      </c>
      <c r="R450" t="str">
        <f t="shared" si="70"/>
        <v/>
      </c>
    </row>
    <row r="451" spans="1:18">
      <c r="A451" s="64" t="str">
        <f>IF(C451="","",VLOOKUP('OPĆI DIO'!$C$3,'OPĆI DIO'!$L$6:$U$138,10,FALSE))</f>
        <v/>
      </c>
      <c r="B451" s="64" t="str">
        <f>IF(C451="","",VLOOKUP('OPĆI DIO'!$C$3,'OPĆI DIO'!$L$6:$U$138,9,FALSE))</f>
        <v/>
      </c>
      <c r="C451" s="69"/>
      <c r="D451" s="64" t="str">
        <f t="shared" ref="D451:D498" si="71">IFERROR(VLOOKUP(C451,$S$6:$T$24,2,FALSE),"")</f>
        <v/>
      </c>
      <c r="E451" s="69"/>
      <c r="F451" s="64" t="str">
        <f t="shared" si="66"/>
        <v/>
      </c>
      <c r="G451" s="102"/>
      <c r="H451" s="64" t="str">
        <f t="shared" ref="H451:H498" si="72">IFERROR(VLOOKUP(G451,$AB$6:$AC$324,2,FALSE),"")</f>
        <v/>
      </c>
      <c r="I451" s="64" t="str">
        <f t="shared" ref="I451:I498" si="73">IFERROR(VLOOKUP(G451,$AB$6:$AF$324,3,FALSE),"")</f>
        <v/>
      </c>
      <c r="J451" s="101"/>
      <c r="K451" s="101"/>
      <c r="L451" s="101"/>
      <c r="M451" s="68"/>
      <c r="O451" t="str">
        <f t="shared" si="67"/>
        <v/>
      </c>
      <c r="P451" t="str">
        <f t="shared" si="68"/>
        <v/>
      </c>
      <c r="Q451" t="str">
        <f t="shared" si="69"/>
        <v/>
      </c>
      <c r="R451" t="str">
        <f t="shared" si="70"/>
        <v/>
      </c>
    </row>
    <row r="452" spans="1:18">
      <c r="A452" s="64" t="str">
        <f>IF(C452="","",VLOOKUP('OPĆI DIO'!$C$3,'OPĆI DIO'!$L$6:$U$138,10,FALSE))</f>
        <v/>
      </c>
      <c r="B452" s="64" t="str">
        <f>IF(C452="","",VLOOKUP('OPĆI DIO'!$C$3,'OPĆI DIO'!$L$6:$U$138,9,FALSE))</f>
        <v/>
      </c>
      <c r="C452" s="69"/>
      <c r="D452" s="64" t="str">
        <f t="shared" si="71"/>
        <v/>
      </c>
      <c r="E452" s="69"/>
      <c r="F452" s="64" t="str">
        <f t="shared" si="66"/>
        <v/>
      </c>
      <c r="G452" s="102"/>
      <c r="H452" s="64" t="str">
        <f t="shared" si="72"/>
        <v/>
      </c>
      <c r="I452" s="64" t="str">
        <f t="shared" si="73"/>
        <v/>
      </c>
      <c r="J452" s="101"/>
      <c r="K452" s="101"/>
      <c r="L452" s="101"/>
      <c r="M452" s="68"/>
      <c r="O452" t="str">
        <f t="shared" si="67"/>
        <v/>
      </c>
      <c r="P452" t="str">
        <f t="shared" si="68"/>
        <v/>
      </c>
      <c r="Q452" t="str">
        <f t="shared" si="69"/>
        <v/>
      </c>
      <c r="R452" t="str">
        <f t="shared" si="70"/>
        <v/>
      </c>
    </row>
    <row r="453" spans="1:18">
      <c r="A453" s="64" t="str">
        <f>IF(C453="","",VLOOKUP('OPĆI DIO'!$C$3,'OPĆI DIO'!$L$6:$U$138,10,FALSE))</f>
        <v/>
      </c>
      <c r="B453" s="64" t="str">
        <f>IF(C453="","",VLOOKUP('OPĆI DIO'!$C$3,'OPĆI DIO'!$L$6:$U$138,9,FALSE))</f>
        <v/>
      </c>
      <c r="C453" s="69"/>
      <c r="D453" s="64" t="str">
        <f t="shared" si="71"/>
        <v/>
      </c>
      <c r="E453" s="69"/>
      <c r="F453" s="64" t="str">
        <f t="shared" si="66"/>
        <v/>
      </c>
      <c r="G453" s="102"/>
      <c r="H453" s="64" t="str">
        <f t="shared" si="72"/>
        <v/>
      </c>
      <c r="I453" s="64" t="str">
        <f t="shared" si="73"/>
        <v/>
      </c>
      <c r="J453" s="101"/>
      <c r="K453" s="101"/>
      <c r="L453" s="101"/>
      <c r="M453" s="68"/>
      <c r="O453" t="str">
        <f t="shared" si="67"/>
        <v/>
      </c>
      <c r="P453" t="str">
        <f t="shared" si="68"/>
        <v/>
      </c>
      <c r="Q453" t="str">
        <f t="shared" si="69"/>
        <v/>
      </c>
      <c r="R453" t="str">
        <f t="shared" si="70"/>
        <v/>
      </c>
    </row>
    <row r="454" spans="1:18">
      <c r="A454" s="64" t="str">
        <f>IF(C454="","",VLOOKUP('OPĆI DIO'!$C$3,'OPĆI DIO'!$L$6:$U$138,10,FALSE))</f>
        <v/>
      </c>
      <c r="B454" s="64" t="str">
        <f>IF(C454="","",VLOOKUP('OPĆI DIO'!$C$3,'OPĆI DIO'!$L$6:$U$138,9,FALSE))</f>
        <v/>
      </c>
      <c r="C454" s="69"/>
      <c r="D454" s="64" t="str">
        <f t="shared" si="71"/>
        <v/>
      </c>
      <c r="E454" s="69"/>
      <c r="F454" s="64" t="str">
        <f t="shared" si="66"/>
        <v/>
      </c>
      <c r="G454" s="102"/>
      <c r="H454" s="64" t="str">
        <f t="shared" si="72"/>
        <v/>
      </c>
      <c r="I454" s="64" t="str">
        <f t="shared" si="73"/>
        <v/>
      </c>
      <c r="J454" s="101"/>
      <c r="K454" s="101"/>
      <c r="L454" s="101"/>
      <c r="M454" s="68"/>
      <c r="O454" t="str">
        <f t="shared" si="67"/>
        <v/>
      </c>
      <c r="P454" t="str">
        <f t="shared" si="68"/>
        <v/>
      </c>
      <c r="Q454" t="str">
        <f t="shared" si="69"/>
        <v/>
      </c>
      <c r="R454" t="str">
        <f t="shared" si="70"/>
        <v/>
      </c>
    </row>
    <row r="455" spans="1:18">
      <c r="A455" s="64" t="str">
        <f>IF(C455="","",VLOOKUP('OPĆI DIO'!$C$3,'OPĆI DIO'!$L$6:$U$138,10,FALSE))</f>
        <v/>
      </c>
      <c r="B455" s="64" t="str">
        <f>IF(C455="","",VLOOKUP('OPĆI DIO'!$C$3,'OPĆI DIO'!$L$6:$U$138,9,FALSE))</f>
        <v/>
      </c>
      <c r="C455" s="69"/>
      <c r="D455" s="64" t="str">
        <f t="shared" si="71"/>
        <v/>
      </c>
      <c r="E455" s="69"/>
      <c r="F455" s="64" t="str">
        <f t="shared" si="66"/>
        <v/>
      </c>
      <c r="G455" s="102"/>
      <c r="H455" s="64" t="str">
        <f t="shared" si="72"/>
        <v/>
      </c>
      <c r="I455" s="64" t="str">
        <f t="shared" si="73"/>
        <v/>
      </c>
      <c r="J455" s="101"/>
      <c r="K455" s="101"/>
      <c r="L455" s="101"/>
      <c r="M455" s="68"/>
      <c r="O455" t="str">
        <f t="shared" si="67"/>
        <v/>
      </c>
      <c r="P455" t="str">
        <f t="shared" si="68"/>
        <v/>
      </c>
      <c r="Q455" t="str">
        <f t="shared" si="69"/>
        <v/>
      </c>
      <c r="R455" t="str">
        <f t="shared" si="70"/>
        <v/>
      </c>
    </row>
    <row r="456" spans="1:18">
      <c r="A456" s="64" t="str">
        <f>IF(C456="","",VLOOKUP('OPĆI DIO'!$C$3,'OPĆI DIO'!$L$6:$U$138,10,FALSE))</f>
        <v/>
      </c>
      <c r="B456" s="64" t="str">
        <f>IF(C456="","",VLOOKUP('OPĆI DIO'!$C$3,'OPĆI DIO'!$L$6:$U$138,9,FALSE))</f>
        <v/>
      </c>
      <c r="C456" s="69"/>
      <c r="D456" s="64" t="str">
        <f t="shared" si="71"/>
        <v/>
      </c>
      <c r="E456" s="69"/>
      <c r="F456" s="64" t="str">
        <f t="shared" si="66"/>
        <v/>
      </c>
      <c r="G456" s="102"/>
      <c r="H456" s="64" t="str">
        <f t="shared" si="72"/>
        <v/>
      </c>
      <c r="I456" s="64" t="str">
        <f t="shared" si="73"/>
        <v/>
      </c>
      <c r="J456" s="101"/>
      <c r="K456" s="101"/>
      <c r="L456" s="101"/>
      <c r="M456" s="68"/>
      <c r="O456" t="str">
        <f t="shared" si="67"/>
        <v/>
      </c>
      <c r="P456" t="str">
        <f t="shared" si="68"/>
        <v/>
      </c>
      <c r="Q456" t="str">
        <f t="shared" si="69"/>
        <v/>
      </c>
      <c r="R456" t="str">
        <f t="shared" si="70"/>
        <v/>
      </c>
    </row>
    <row r="457" spans="1:18">
      <c r="A457" s="64" t="str">
        <f>IF(C457="","",VLOOKUP('OPĆI DIO'!$C$3,'OPĆI DIO'!$L$6:$U$138,10,FALSE))</f>
        <v/>
      </c>
      <c r="B457" s="64" t="str">
        <f>IF(C457="","",VLOOKUP('OPĆI DIO'!$C$3,'OPĆI DIO'!$L$6:$U$138,9,FALSE))</f>
        <v/>
      </c>
      <c r="C457" s="69"/>
      <c r="D457" s="64" t="str">
        <f t="shared" si="71"/>
        <v/>
      </c>
      <c r="E457" s="69"/>
      <c r="F457" s="64" t="str">
        <f t="shared" si="66"/>
        <v/>
      </c>
      <c r="G457" s="102"/>
      <c r="H457" s="64" t="str">
        <f t="shared" si="72"/>
        <v/>
      </c>
      <c r="I457" s="64" t="str">
        <f t="shared" si="73"/>
        <v/>
      </c>
      <c r="J457" s="101"/>
      <c r="K457" s="101"/>
      <c r="L457" s="101"/>
      <c r="M457" s="68"/>
      <c r="O457" t="str">
        <f t="shared" si="67"/>
        <v/>
      </c>
      <c r="P457" t="str">
        <f t="shared" si="68"/>
        <v/>
      </c>
      <c r="Q457" t="str">
        <f t="shared" si="69"/>
        <v/>
      </c>
      <c r="R457" t="str">
        <f t="shared" si="70"/>
        <v/>
      </c>
    </row>
    <row r="458" spans="1:18">
      <c r="A458" s="64" t="str">
        <f>IF(C458="","",VLOOKUP('OPĆI DIO'!$C$3,'OPĆI DIO'!$L$6:$U$138,10,FALSE))</f>
        <v/>
      </c>
      <c r="B458" s="64" t="str">
        <f>IF(C458="","",VLOOKUP('OPĆI DIO'!$C$3,'OPĆI DIO'!$L$6:$U$138,9,FALSE))</f>
        <v/>
      </c>
      <c r="C458" s="69"/>
      <c r="D458" s="64" t="str">
        <f t="shared" si="71"/>
        <v/>
      </c>
      <c r="E458" s="69"/>
      <c r="F458" s="64" t="str">
        <f t="shared" si="66"/>
        <v/>
      </c>
      <c r="G458" s="102"/>
      <c r="H458" s="64" t="str">
        <f t="shared" si="72"/>
        <v/>
      </c>
      <c r="I458" s="64" t="str">
        <f t="shared" si="73"/>
        <v/>
      </c>
      <c r="J458" s="101"/>
      <c r="K458" s="101"/>
      <c r="L458" s="101"/>
      <c r="M458" s="68"/>
      <c r="O458" t="str">
        <f t="shared" si="67"/>
        <v/>
      </c>
      <c r="P458" t="str">
        <f t="shared" si="68"/>
        <v/>
      </c>
      <c r="Q458" t="str">
        <f t="shared" si="69"/>
        <v/>
      </c>
      <c r="R458" t="str">
        <f t="shared" si="70"/>
        <v/>
      </c>
    </row>
    <row r="459" spans="1:18">
      <c r="A459" s="64" t="str">
        <f>IF(C459="","",VLOOKUP('OPĆI DIO'!$C$3,'OPĆI DIO'!$L$6:$U$138,10,FALSE))</f>
        <v/>
      </c>
      <c r="B459" s="64" t="str">
        <f>IF(C459="","",VLOOKUP('OPĆI DIO'!$C$3,'OPĆI DIO'!$L$6:$U$138,9,FALSE))</f>
        <v/>
      </c>
      <c r="C459" s="69"/>
      <c r="D459" s="64" t="str">
        <f t="shared" si="71"/>
        <v/>
      </c>
      <c r="E459" s="69"/>
      <c r="F459" s="64" t="str">
        <f t="shared" si="66"/>
        <v/>
      </c>
      <c r="G459" s="102"/>
      <c r="H459" s="64" t="str">
        <f t="shared" si="72"/>
        <v/>
      </c>
      <c r="I459" s="64" t="str">
        <f t="shared" si="73"/>
        <v/>
      </c>
      <c r="J459" s="101"/>
      <c r="K459" s="101"/>
      <c r="L459" s="101"/>
      <c r="M459" s="68"/>
      <c r="O459" t="str">
        <f t="shared" si="67"/>
        <v/>
      </c>
      <c r="P459" t="str">
        <f t="shared" si="68"/>
        <v/>
      </c>
      <c r="Q459" t="str">
        <f t="shared" si="69"/>
        <v/>
      </c>
      <c r="R459" t="str">
        <f t="shared" si="70"/>
        <v/>
      </c>
    </row>
    <row r="460" spans="1:18">
      <c r="A460" s="64" t="str">
        <f>IF(C460="","",VLOOKUP('OPĆI DIO'!$C$3,'OPĆI DIO'!$L$6:$U$138,10,FALSE))</f>
        <v/>
      </c>
      <c r="B460" s="64" t="str">
        <f>IF(C460="","",VLOOKUP('OPĆI DIO'!$C$3,'OPĆI DIO'!$L$6:$U$138,9,FALSE))</f>
        <v/>
      </c>
      <c r="C460" s="69"/>
      <c r="D460" s="64" t="str">
        <f t="shared" si="71"/>
        <v/>
      </c>
      <c r="E460" s="69"/>
      <c r="F460" s="64" t="str">
        <f t="shared" si="66"/>
        <v/>
      </c>
      <c r="G460" s="102"/>
      <c r="H460" s="64" t="str">
        <f t="shared" si="72"/>
        <v/>
      </c>
      <c r="I460" s="64" t="str">
        <f t="shared" si="73"/>
        <v/>
      </c>
      <c r="J460" s="101"/>
      <c r="K460" s="101"/>
      <c r="L460" s="101"/>
      <c r="M460" s="68"/>
      <c r="O460" t="str">
        <f t="shared" si="67"/>
        <v/>
      </c>
      <c r="P460" t="str">
        <f t="shared" si="68"/>
        <v/>
      </c>
      <c r="Q460" t="str">
        <f t="shared" si="69"/>
        <v/>
      </c>
      <c r="R460" t="str">
        <f t="shared" si="70"/>
        <v/>
      </c>
    </row>
    <row r="461" spans="1:18">
      <c r="A461" s="64" t="str">
        <f>IF(C461="","",VLOOKUP('OPĆI DIO'!$C$3,'OPĆI DIO'!$L$6:$U$138,10,FALSE))</f>
        <v/>
      </c>
      <c r="B461" s="64" t="str">
        <f>IF(C461="","",VLOOKUP('OPĆI DIO'!$C$3,'OPĆI DIO'!$L$6:$U$138,9,FALSE))</f>
        <v/>
      </c>
      <c r="C461" s="69"/>
      <c r="D461" s="64" t="str">
        <f t="shared" si="71"/>
        <v/>
      </c>
      <c r="E461" s="69"/>
      <c r="F461" s="64" t="str">
        <f t="shared" si="66"/>
        <v/>
      </c>
      <c r="G461" s="102"/>
      <c r="H461" s="64" t="str">
        <f t="shared" si="72"/>
        <v/>
      </c>
      <c r="I461" s="64" t="str">
        <f t="shared" si="73"/>
        <v/>
      </c>
      <c r="J461" s="101"/>
      <c r="K461" s="101"/>
      <c r="L461" s="101"/>
      <c r="M461" s="68"/>
      <c r="O461" t="str">
        <f t="shared" si="67"/>
        <v/>
      </c>
      <c r="P461" t="str">
        <f t="shared" si="68"/>
        <v/>
      </c>
      <c r="Q461" t="str">
        <f t="shared" si="69"/>
        <v/>
      </c>
      <c r="R461" t="str">
        <f t="shared" si="70"/>
        <v/>
      </c>
    </row>
    <row r="462" spans="1:18">
      <c r="A462" s="64" t="str">
        <f>IF(C462="","",VLOOKUP('OPĆI DIO'!$C$3,'OPĆI DIO'!$L$6:$U$138,10,FALSE))</f>
        <v/>
      </c>
      <c r="B462" s="64" t="str">
        <f>IF(C462="","",VLOOKUP('OPĆI DIO'!$C$3,'OPĆI DIO'!$L$6:$U$138,9,FALSE))</f>
        <v/>
      </c>
      <c r="C462" s="69"/>
      <c r="D462" s="64" t="str">
        <f t="shared" si="71"/>
        <v/>
      </c>
      <c r="E462" s="69"/>
      <c r="F462" s="64" t="str">
        <f t="shared" si="66"/>
        <v/>
      </c>
      <c r="G462" s="102"/>
      <c r="H462" s="64" t="str">
        <f t="shared" si="72"/>
        <v/>
      </c>
      <c r="I462" s="64" t="str">
        <f t="shared" si="73"/>
        <v/>
      </c>
      <c r="J462" s="101"/>
      <c r="K462" s="101"/>
      <c r="L462" s="101"/>
      <c r="M462" s="68"/>
      <c r="O462" t="str">
        <f t="shared" si="67"/>
        <v/>
      </c>
      <c r="P462" t="str">
        <f t="shared" si="68"/>
        <v/>
      </c>
      <c r="Q462" t="str">
        <f t="shared" si="69"/>
        <v/>
      </c>
      <c r="R462" t="str">
        <f t="shared" si="70"/>
        <v/>
      </c>
    </row>
    <row r="463" spans="1:18">
      <c r="A463" s="64" t="str">
        <f>IF(C463="","",VLOOKUP('OPĆI DIO'!$C$3,'OPĆI DIO'!$L$6:$U$138,10,FALSE))</f>
        <v/>
      </c>
      <c r="B463" s="64" t="str">
        <f>IF(C463="","",VLOOKUP('OPĆI DIO'!$C$3,'OPĆI DIO'!$L$6:$U$138,9,FALSE))</f>
        <v/>
      </c>
      <c r="C463" s="69"/>
      <c r="D463" s="64" t="str">
        <f t="shared" si="71"/>
        <v/>
      </c>
      <c r="E463" s="69"/>
      <c r="F463" s="64" t="str">
        <f t="shared" ref="F463:F498" si="74">IFERROR(VLOOKUP(E463,$V$5:$X$127,2,FALSE),"")</f>
        <v/>
      </c>
      <c r="G463" s="102"/>
      <c r="H463" s="64" t="str">
        <f t="shared" si="72"/>
        <v/>
      </c>
      <c r="I463" s="64" t="str">
        <f t="shared" si="73"/>
        <v/>
      </c>
      <c r="J463" s="101"/>
      <c r="K463" s="101"/>
      <c r="L463" s="101"/>
      <c r="M463" s="68"/>
      <c r="O463" t="str">
        <f t="shared" si="67"/>
        <v/>
      </c>
      <c r="P463" t="str">
        <f t="shared" si="68"/>
        <v/>
      </c>
      <c r="Q463" t="str">
        <f t="shared" si="69"/>
        <v/>
      </c>
      <c r="R463" t="str">
        <f t="shared" si="70"/>
        <v/>
      </c>
    </row>
    <row r="464" spans="1:18">
      <c r="A464" s="64" t="str">
        <f>IF(C464="","",VLOOKUP('OPĆI DIO'!$C$3,'OPĆI DIO'!$L$6:$U$138,10,FALSE))</f>
        <v/>
      </c>
      <c r="B464" s="64" t="str">
        <f>IF(C464="","",VLOOKUP('OPĆI DIO'!$C$3,'OPĆI DIO'!$L$6:$U$138,9,FALSE))</f>
        <v/>
      </c>
      <c r="C464" s="69"/>
      <c r="D464" s="64" t="str">
        <f t="shared" si="71"/>
        <v/>
      </c>
      <c r="E464" s="69"/>
      <c r="F464" s="64" t="str">
        <f t="shared" si="74"/>
        <v/>
      </c>
      <c r="G464" s="102"/>
      <c r="H464" s="64" t="str">
        <f t="shared" si="72"/>
        <v/>
      </c>
      <c r="I464" s="64" t="str">
        <f t="shared" si="73"/>
        <v/>
      </c>
      <c r="J464" s="101"/>
      <c r="K464" s="101"/>
      <c r="L464" s="101"/>
      <c r="M464" s="68"/>
      <c r="O464" t="str">
        <f t="shared" si="67"/>
        <v/>
      </c>
      <c r="P464" t="str">
        <f t="shared" si="68"/>
        <v/>
      </c>
      <c r="Q464" t="str">
        <f t="shared" si="69"/>
        <v/>
      </c>
      <c r="R464" t="str">
        <f t="shared" si="70"/>
        <v/>
      </c>
    </row>
    <row r="465" spans="1:18">
      <c r="A465" s="64" t="str">
        <f>IF(C465="","",VLOOKUP('OPĆI DIO'!$C$3,'OPĆI DIO'!$L$6:$U$138,10,FALSE))</f>
        <v/>
      </c>
      <c r="B465" s="64" t="str">
        <f>IF(C465="","",VLOOKUP('OPĆI DIO'!$C$3,'OPĆI DIO'!$L$6:$U$138,9,FALSE))</f>
        <v/>
      </c>
      <c r="C465" s="69"/>
      <c r="D465" s="64" t="str">
        <f t="shared" si="71"/>
        <v/>
      </c>
      <c r="E465" s="69"/>
      <c r="F465" s="64" t="str">
        <f t="shared" si="74"/>
        <v/>
      </c>
      <c r="G465" s="102"/>
      <c r="H465" s="64" t="str">
        <f t="shared" si="72"/>
        <v/>
      </c>
      <c r="I465" s="64" t="str">
        <f t="shared" si="73"/>
        <v/>
      </c>
      <c r="J465" s="101"/>
      <c r="K465" s="101"/>
      <c r="L465" s="101"/>
      <c r="M465" s="68"/>
      <c r="O465" t="str">
        <f t="shared" si="67"/>
        <v/>
      </c>
      <c r="P465" t="str">
        <f t="shared" si="68"/>
        <v/>
      </c>
      <c r="Q465" t="str">
        <f t="shared" si="69"/>
        <v/>
      </c>
      <c r="R465" t="str">
        <f t="shared" si="70"/>
        <v/>
      </c>
    </row>
    <row r="466" spans="1:18">
      <c r="A466" s="64" t="str">
        <f>IF(C466="","",VLOOKUP('OPĆI DIO'!$C$3,'OPĆI DIO'!$L$6:$U$138,10,FALSE))</f>
        <v/>
      </c>
      <c r="B466" s="64" t="str">
        <f>IF(C466="","",VLOOKUP('OPĆI DIO'!$C$3,'OPĆI DIO'!$L$6:$U$138,9,FALSE))</f>
        <v/>
      </c>
      <c r="C466" s="69"/>
      <c r="D466" s="64" t="str">
        <f t="shared" si="71"/>
        <v/>
      </c>
      <c r="E466" s="69"/>
      <c r="F466" s="64" t="str">
        <f t="shared" si="74"/>
        <v/>
      </c>
      <c r="G466" s="102"/>
      <c r="H466" s="64" t="str">
        <f t="shared" si="72"/>
        <v/>
      </c>
      <c r="I466" s="64" t="str">
        <f t="shared" si="73"/>
        <v/>
      </c>
      <c r="J466" s="101"/>
      <c r="K466" s="101"/>
      <c r="L466" s="101"/>
      <c r="M466" s="68"/>
      <c r="O466" t="str">
        <f t="shared" si="67"/>
        <v/>
      </c>
      <c r="P466" t="str">
        <f t="shared" si="68"/>
        <v/>
      </c>
      <c r="Q466" t="str">
        <f t="shared" si="69"/>
        <v/>
      </c>
      <c r="R466" t="str">
        <f t="shared" si="70"/>
        <v/>
      </c>
    </row>
    <row r="467" spans="1:18">
      <c r="A467" s="64" t="str">
        <f>IF(C467="","",VLOOKUP('OPĆI DIO'!$C$3,'OPĆI DIO'!$L$6:$U$138,10,FALSE))</f>
        <v/>
      </c>
      <c r="B467" s="64" t="str">
        <f>IF(C467="","",VLOOKUP('OPĆI DIO'!$C$3,'OPĆI DIO'!$L$6:$U$138,9,FALSE))</f>
        <v/>
      </c>
      <c r="C467" s="69"/>
      <c r="D467" s="64" t="str">
        <f t="shared" si="71"/>
        <v/>
      </c>
      <c r="E467" s="69"/>
      <c r="F467" s="64" t="str">
        <f t="shared" si="74"/>
        <v/>
      </c>
      <c r="G467" s="102"/>
      <c r="H467" s="64" t="str">
        <f t="shared" si="72"/>
        <v/>
      </c>
      <c r="I467" s="64" t="str">
        <f t="shared" si="73"/>
        <v/>
      </c>
      <c r="J467" s="101"/>
      <c r="K467" s="101"/>
      <c r="L467" s="101"/>
      <c r="M467" s="68"/>
      <c r="O467" t="str">
        <f t="shared" si="67"/>
        <v/>
      </c>
      <c r="P467" t="str">
        <f t="shared" si="68"/>
        <v/>
      </c>
      <c r="Q467" t="str">
        <f t="shared" si="69"/>
        <v/>
      </c>
      <c r="R467" t="str">
        <f t="shared" si="70"/>
        <v/>
      </c>
    </row>
    <row r="468" spans="1:18">
      <c r="A468" s="64" t="str">
        <f>IF(C468="","",VLOOKUP('OPĆI DIO'!$C$3,'OPĆI DIO'!$L$6:$U$138,10,FALSE))</f>
        <v/>
      </c>
      <c r="B468" s="64" t="str">
        <f>IF(C468="","",VLOOKUP('OPĆI DIO'!$C$3,'OPĆI DIO'!$L$6:$U$138,9,FALSE))</f>
        <v/>
      </c>
      <c r="C468" s="69"/>
      <c r="D468" s="64" t="str">
        <f t="shared" si="71"/>
        <v/>
      </c>
      <c r="E468" s="69"/>
      <c r="F468" s="64" t="str">
        <f t="shared" si="74"/>
        <v/>
      </c>
      <c r="G468" s="102"/>
      <c r="H468" s="64" t="str">
        <f t="shared" si="72"/>
        <v/>
      </c>
      <c r="I468" s="64" t="str">
        <f t="shared" si="73"/>
        <v/>
      </c>
      <c r="J468" s="101"/>
      <c r="K468" s="101"/>
      <c r="L468" s="101"/>
      <c r="M468" s="68"/>
      <c r="O468" t="str">
        <f t="shared" si="67"/>
        <v/>
      </c>
      <c r="P468" t="str">
        <f t="shared" si="68"/>
        <v/>
      </c>
      <c r="Q468" t="str">
        <f t="shared" si="69"/>
        <v/>
      </c>
      <c r="R468" t="str">
        <f t="shared" si="70"/>
        <v/>
      </c>
    </row>
    <row r="469" spans="1:18">
      <c r="A469" s="64" t="str">
        <f>IF(C469="","",VLOOKUP('OPĆI DIO'!$C$3,'OPĆI DIO'!$L$6:$U$138,10,FALSE))</f>
        <v/>
      </c>
      <c r="B469" s="64" t="str">
        <f>IF(C469="","",VLOOKUP('OPĆI DIO'!$C$3,'OPĆI DIO'!$L$6:$U$138,9,FALSE))</f>
        <v/>
      </c>
      <c r="C469" s="69"/>
      <c r="D469" s="64" t="str">
        <f t="shared" si="71"/>
        <v/>
      </c>
      <c r="E469" s="69"/>
      <c r="F469" s="64" t="str">
        <f t="shared" si="74"/>
        <v/>
      </c>
      <c r="G469" s="102"/>
      <c r="H469" s="64" t="str">
        <f t="shared" si="72"/>
        <v/>
      </c>
      <c r="I469" s="64" t="str">
        <f t="shared" si="73"/>
        <v/>
      </c>
      <c r="J469" s="101"/>
      <c r="K469" s="101"/>
      <c r="L469" s="101"/>
      <c r="M469" s="68"/>
      <c r="O469" t="str">
        <f t="shared" si="67"/>
        <v/>
      </c>
      <c r="P469" t="str">
        <f t="shared" si="68"/>
        <v/>
      </c>
      <c r="Q469" t="str">
        <f t="shared" si="69"/>
        <v/>
      </c>
      <c r="R469" t="str">
        <f t="shared" si="70"/>
        <v/>
      </c>
    </row>
    <row r="470" spans="1:18">
      <c r="A470" s="64" t="str">
        <f>IF(C470="","",VLOOKUP('OPĆI DIO'!$C$3,'OPĆI DIO'!$L$6:$U$138,10,FALSE))</f>
        <v/>
      </c>
      <c r="B470" s="64" t="str">
        <f>IF(C470="","",VLOOKUP('OPĆI DIO'!$C$3,'OPĆI DIO'!$L$6:$U$138,9,FALSE))</f>
        <v/>
      </c>
      <c r="C470" s="69"/>
      <c r="D470" s="64" t="str">
        <f t="shared" si="71"/>
        <v/>
      </c>
      <c r="E470" s="69"/>
      <c r="F470" s="64" t="str">
        <f t="shared" si="74"/>
        <v/>
      </c>
      <c r="G470" s="102"/>
      <c r="H470" s="64" t="str">
        <f t="shared" si="72"/>
        <v/>
      </c>
      <c r="I470" s="64" t="str">
        <f t="shared" si="73"/>
        <v/>
      </c>
      <c r="J470" s="101"/>
      <c r="K470" s="101"/>
      <c r="L470" s="101"/>
      <c r="M470" s="68"/>
      <c r="O470" t="str">
        <f t="shared" si="67"/>
        <v/>
      </c>
      <c r="P470" t="str">
        <f t="shared" si="68"/>
        <v/>
      </c>
      <c r="Q470" t="str">
        <f t="shared" si="69"/>
        <v/>
      </c>
      <c r="R470" t="str">
        <f t="shared" si="70"/>
        <v/>
      </c>
    </row>
    <row r="471" spans="1:18">
      <c r="A471" s="64" t="str">
        <f>IF(C471="","",VLOOKUP('OPĆI DIO'!$C$3,'OPĆI DIO'!$L$6:$U$138,10,FALSE))</f>
        <v/>
      </c>
      <c r="B471" s="64" t="str">
        <f>IF(C471="","",VLOOKUP('OPĆI DIO'!$C$3,'OPĆI DIO'!$L$6:$U$138,9,FALSE))</f>
        <v/>
      </c>
      <c r="C471" s="69"/>
      <c r="D471" s="64" t="str">
        <f t="shared" si="71"/>
        <v/>
      </c>
      <c r="E471" s="69"/>
      <c r="F471" s="64" t="str">
        <f t="shared" si="74"/>
        <v/>
      </c>
      <c r="G471" s="102"/>
      <c r="H471" s="64" t="str">
        <f t="shared" si="72"/>
        <v/>
      </c>
      <c r="I471" s="64" t="str">
        <f t="shared" si="73"/>
        <v/>
      </c>
      <c r="J471" s="101"/>
      <c r="K471" s="101"/>
      <c r="L471" s="101"/>
      <c r="M471" s="68"/>
      <c r="O471" t="str">
        <f t="shared" si="67"/>
        <v/>
      </c>
      <c r="P471" t="str">
        <f t="shared" si="68"/>
        <v/>
      </c>
      <c r="Q471" t="str">
        <f t="shared" si="69"/>
        <v/>
      </c>
      <c r="R471" t="str">
        <f t="shared" si="70"/>
        <v/>
      </c>
    </row>
    <row r="472" spans="1:18">
      <c r="A472" s="64" t="str">
        <f>IF(C472="","",VLOOKUP('OPĆI DIO'!$C$3,'OPĆI DIO'!$L$6:$U$138,10,FALSE))</f>
        <v/>
      </c>
      <c r="B472" s="64" t="str">
        <f>IF(C472="","",VLOOKUP('OPĆI DIO'!$C$3,'OPĆI DIO'!$L$6:$U$138,9,FALSE))</f>
        <v/>
      </c>
      <c r="C472" s="69"/>
      <c r="D472" s="64" t="str">
        <f t="shared" si="71"/>
        <v/>
      </c>
      <c r="E472" s="69"/>
      <c r="F472" s="64" t="str">
        <f t="shared" si="74"/>
        <v/>
      </c>
      <c r="G472" s="102"/>
      <c r="H472" s="64" t="str">
        <f t="shared" si="72"/>
        <v/>
      </c>
      <c r="I472" s="64" t="str">
        <f t="shared" si="73"/>
        <v/>
      </c>
      <c r="J472" s="101"/>
      <c r="K472" s="101"/>
      <c r="L472" s="101"/>
      <c r="M472" s="68"/>
      <c r="O472" t="str">
        <f t="shared" si="67"/>
        <v/>
      </c>
      <c r="P472" t="str">
        <f t="shared" si="68"/>
        <v/>
      </c>
      <c r="Q472" t="str">
        <f t="shared" si="69"/>
        <v/>
      </c>
      <c r="R472" t="str">
        <f t="shared" si="70"/>
        <v/>
      </c>
    </row>
    <row r="473" spans="1:18">
      <c r="A473" s="64" t="str">
        <f>IF(C473="","",VLOOKUP('OPĆI DIO'!$C$3,'OPĆI DIO'!$L$6:$U$138,10,FALSE))</f>
        <v/>
      </c>
      <c r="B473" s="64" t="str">
        <f>IF(C473="","",VLOOKUP('OPĆI DIO'!$C$3,'OPĆI DIO'!$L$6:$U$138,9,FALSE))</f>
        <v/>
      </c>
      <c r="C473" s="69"/>
      <c r="D473" s="64" t="str">
        <f t="shared" si="71"/>
        <v/>
      </c>
      <c r="E473" s="69"/>
      <c r="F473" s="64" t="str">
        <f t="shared" si="74"/>
        <v/>
      </c>
      <c r="G473" s="102"/>
      <c r="H473" s="64" t="str">
        <f t="shared" si="72"/>
        <v/>
      </c>
      <c r="I473" s="64" t="str">
        <f t="shared" si="73"/>
        <v/>
      </c>
      <c r="J473" s="101"/>
      <c r="K473" s="101"/>
      <c r="L473" s="101"/>
      <c r="M473" s="68"/>
      <c r="O473" t="str">
        <f t="shared" si="67"/>
        <v/>
      </c>
      <c r="P473" t="str">
        <f t="shared" si="68"/>
        <v/>
      </c>
      <c r="Q473" t="str">
        <f t="shared" si="69"/>
        <v/>
      </c>
      <c r="R473" t="str">
        <f t="shared" si="70"/>
        <v/>
      </c>
    </row>
    <row r="474" spans="1:18">
      <c r="A474" s="64" t="str">
        <f>IF(C474="","",VLOOKUP('OPĆI DIO'!$C$3,'OPĆI DIO'!$L$6:$U$138,10,FALSE))</f>
        <v/>
      </c>
      <c r="B474" s="64" t="str">
        <f>IF(C474="","",VLOOKUP('OPĆI DIO'!$C$3,'OPĆI DIO'!$L$6:$U$138,9,FALSE))</f>
        <v/>
      </c>
      <c r="C474" s="69"/>
      <c r="D474" s="64" t="str">
        <f t="shared" si="71"/>
        <v/>
      </c>
      <c r="E474" s="69"/>
      <c r="F474" s="64" t="str">
        <f t="shared" si="74"/>
        <v/>
      </c>
      <c r="G474" s="102"/>
      <c r="H474" s="64" t="str">
        <f t="shared" si="72"/>
        <v/>
      </c>
      <c r="I474" s="64" t="str">
        <f t="shared" si="73"/>
        <v/>
      </c>
      <c r="J474" s="101"/>
      <c r="K474" s="101"/>
      <c r="L474" s="101"/>
      <c r="M474" s="68"/>
      <c r="O474" t="str">
        <f t="shared" si="67"/>
        <v/>
      </c>
      <c r="P474" t="str">
        <f t="shared" si="68"/>
        <v/>
      </c>
      <c r="Q474" t="str">
        <f t="shared" si="69"/>
        <v/>
      </c>
      <c r="R474" t="str">
        <f t="shared" si="70"/>
        <v/>
      </c>
    </row>
    <row r="475" spans="1:18">
      <c r="A475" s="64" t="str">
        <f>IF(C475="","",VLOOKUP('OPĆI DIO'!$C$3,'OPĆI DIO'!$L$6:$U$138,10,FALSE))</f>
        <v/>
      </c>
      <c r="B475" s="64" t="str">
        <f>IF(C475="","",VLOOKUP('OPĆI DIO'!$C$3,'OPĆI DIO'!$L$6:$U$138,9,FALSE))</f>
        <v/>
      </c>
      <c r="C475" s="69"/>
      <c r="D475" s="64" t="str">
        <f t="shared" si="71"/>
        <v/>
      </c>
      <c r="E475" s="69"/>
      <c r="F475" s="64" t="str">
        <f t="shared" si="74"/>
        <v/>
      </c>
      <c r="G475" s="102"/>
      <c r="H475" s="64" t="str">
        <f t="shared" si="72"/>
        <v/>
      </c>
      <c r="I475" s="64" t="str">
        <f t="shared" si="73"/>
        <v/>
      </c>
      <c r="J475" s="101"/>
      <c r="K475" s="101"/>
      <c r="L475" s="101"/>
      <c r="M475" s="68"/>
      <c r="O475" t="str">
        <f t="shared" si="67"/>
        <v/>
      </c>
      <c r="P475" t="str">
        <f t="shared" si="68"/>
        <v/>
      </c>
      <c r="Q475" t="str">
        <f t="shared" si="69"/>
        <v/>
      </c>
      <c r="R475" t="str">
        <f t="shared" si="70"/>
        <v/>
      </c>
    </row>
    <row r="476" spans="1:18">
      <c r="A476" s="64" t="str">
        <f>IF(C476="","",VLOOKUP('OPĆI DIO'!$C$3,'OPĆI DIO'!$L$6:$U$138,10,FALSE))</f>
        <v/>
      </c>
      <c r="B476" s="64" t="str">
        <f>IF(C476="","",VLOOKUP('OPĆI DIO'!$C$3,'OPĆI DIO'!$L$6:$U$138,9,FALSE))</f>
        <v/>
      </c>
      <c r="C476" s="69"/>
      <c r="D476" s="64" t="str">
        <f t="shared" si="71"/>
        <v/>
      </c>
      <c r="E476" s="69"/>
      <c r="F476" s="64" t="str">
        <f t="shared" si="74"/>
        <v/>
      </c>
      <c r="G476" s="102"/>
      <c r="H476" s="64" t="str">
        <f t="shared" si="72"/>
        <v/>
      </c>
      <c r="I476" s="64" t="str">
        <f t="shared" si="73"/>
        <v/>
      </c>
      <c r="J476" s="101"/>
      <c r="K476" s="101"/>
      <c r="L476" s="101"/>
      <c r="M476" s="68"/>
      <c r="O476" t="str">
        <f t="shared" si="67"/>
        <v/>
      </c>
      <c r="P476" t="str">
        <f t="shared" si="68"/>
        <v/>
      </c>
      <c r="Q476" t="str">
        <f t="shared" si="69"/>
        <v/>
      </c>
      <c r="R476" t="str">
        <f t="shared" si="70"/>
        <v/>
      </c>
    </row>
    <row r="477" spans="1:18">
      <c r="A477" s="64" t="str">
        <f>IF(C477="","",VLOOKUP('OPĆI DIO'!$C$3,'OPĆI DIO'!$L$6:$U$138,10,FALSE))</f>
        <v/>
      </c>
      <c r="B477" s="64" t="str">
        <f>IF(C477="","",VLOOKUP('OPĆI DIO'!$C$3,'OPĆI DIO'!$L$6:$U$138,9,FALSE))</f>
        <v/>
      </c>
      <c r="C477" s="69"/>
      <c r="D477" s="64" t="str">
        <f t="shared" si="71"/>
        <v/>
      </c>
      <c r="E477" s="69"/>
      <c r="F477" s="64" t="str">
        <f t="shared" si="74"/>
        <v/>
      </c>
      <c r="G477" s="102"/>
      <c r="H477" s="64" t="str">
        <f t="shared" si="72"/>
        <v/>
      </c>
      <c r="I477" s="64" t="str">
        <f t="shared" si="73"/>
        <v/>
      </c>
      <c r="J477" s="101"/>
      <c r="K477" s="101"/>
      <c r="L477" s="101"/>
      <c r="M477" s="68"/>
      <c r="O477" t="str">
        <f t="shared" si="67"/>
        <v/>
      </c>
      <c r="P477" t="str">
        <f t="shared" si="68"/>
        <v/>
      </c>
      <c r="Q477" t="str">
        <f t="shared" si="69"/>
        <v/>
      </c>
      <c r="R477" t="str">
        <f t="shared" si="70"/>
        <v/>
      </c>
    </row>
    <row r="478" spans="1:18">
      <c r="A478" s="64" t="str">
        <f>IF(C478="","",VLOOKUP('OPĆI DIO'!$C$3,'OPĆI DIO'!$L$6:$U$138,10,FALSE))</f>
        <v/>
      </c>
      <c r="B478" s="64" t="str">
        <f>IF(C478="","",VLOOKUP('OPĆI DIO'!$C$3,'OPĆI DIO'!$L$6:$U$138,9,FALSE))</f>
        <v/>
      </c>
      <c r="C478" s="69"/>
      <c r="D478" s="64" t="str">
        <f t="shared" si="71"/>
        <v/>
      </c>
      <c r="E478" s="69"/>
      <c r="F478" s="64" t="str">
        <f t="shared" si="74"/>
        <v/>
      </c>
      <c r="G478" s="102"/>
      <c r="H478" s="64" t="str">
        <f t="shared" si="72"/>
        <v/>
      </c>
      <c r="I478" s="64" t="str">
        <f t="shared" si="73"/>
        <v/>
      </c>
      <c r="J478" s="101"/>
      <c r="K478" s="101"/>
      <c r="L478" s="101"/>
      <c r="M478" s="68"/>
      <c r="O478" t="str">
        <f t="shared" si="67"/>
        <v/>
      </c>
      <c r="P478" t="str">
        <f t="shared" si="68"/>
        <v/>
      </c>
      <c r="Q478" t="str">
        <f t="shared" si="69"/>
        <v/>
      </c>
      <c r="R478" t="str">
        <f t="shared" si="70"/>
        <v/>
      </c>
    </row>
    <row r="479" spans="1:18">
      <c r="A479" s="64" t="str">
        <f>IF(C479="","",VLOOKUP('OPĆI DIO'!$C$3,'OPĆI DIO'!$L$6:$U$138,10,FALSE))</f>
        <v/>
      </c>
      <c r="B479" s="64" t="str">
        <f>IF(C479="","",VLOOKUP('OPĆI DIO'!$C$3,'OPĆI DIO'!$L$6:$U$138,9,FALSE))</f>
        <v/>
      </c>
      <c r="C479" s="69"/>
      <c r="D479" s="64" t="str">
        <f t="shared" si="71"/>
        <v/>
      </c>
      <c r="E479" s="69"/>
      <c r="F479" s="64" t="str">
        <f t="shared" si="74"/>
        <v/>
      </c>
      <c r="G479" s="102"/>
      <c r="H479" s="64" t="str">
        <f t="shared" si="72"/>
        <v/>
      </c>
      <c r="I479" s="64" t="str">
        <f t="shared" si="73"/>
        <v/>
      </c>
      <c r="J479" s="101"/>
      <c r="K479" s="101"/>
      <c r="L479" s="101"/>
      <c r="M479" s="68"/>
      <c r="O479" t="str">
        <f t="shared" si="67"/>
        <v/>
      </c>
      <c r="P479" t="str">
        <f t="shared" si="68"/>
        <v/>
      </c>
      <c r="Q479" t="str">
        <f t="shared" si="69"/>
        <v/>
      </c>
      <c r="R479" t="str">
        <f t="shared" si="70"/>
        <v/>
      </c>
    </row>
    <row r="480" spans="1:18">
      <c r="A480" s="64" t="str">
        <f>IF(C480="","",VLOOKUP('OPĆI DIO'!$C$3,'OPĆI DIO'!$L$6:$U$138,10,FALSE))</f>
        <v/>
      </c>
      <c r="B480" s="64" t="str">
        <f>IF(C480="","",VLOOKUP('OPĆI DIO'!$C$3,'OPĆI DIO'!$L$6:$U$138,9,FALSE))</f>
        <v/>
      </c>
      <c r="C480" s="69"/>
      <c r="D480" s="64" t="str">
        <f t="shared" si="71"/>
        <v/>
      </c>
      <c r="E480" s="69"/>
      <c r="F480" s="64" t="str">
        <f t="shared" si="74"/>
        <v/>
      </c>
      <c r="G480" s="102"/>
      <c r="H480" s="64" t="str">
        <f t="shared" si="72"/>
        <v/>
      </c>
      <c r="I480" s="64" t="str">
        <f t="shared" si="73"/>
        <v/>
      </c>
      <c r="J480" s="101"/>
      <c r="K480" s="101"/>
      <c r="L480" s="101"/>
      <c r="M480" s="68"/>
      <c r="O480" t="str">
        <f t="shared" si="67"/>
        <v/>
      </c>
      <c r="P480" t="str">
        <f t="shared" si="68"/>
        <v/>
      </c>
      <c r="Q480" t="str">
        <f t="shared" si="69"/>
        <v/>
      </c>
      <c r="R480" t="str">
        <f t="shared" si="70"/>
        <v/>
      </c>
    </row>
    <row r="481" spans="1:18">
      <c r="A481" s="64" t="str">
        <f>IF(C481="","",VLOOKUP('OPĆI DIO'!$C$3,'OPĆI DIO'!$L$6:$U$138,10,FALSE))</f>
        <v/>
      </c>
      <c r="B481" s="64" t="str">
        <f>IF(C481="","",VLOOKUP('OPĆI DIO'!$C$3,'OPĆI DIO'!$L$6:$U$138,9,FALSE))</f>
        <v/>
      </c>
      <c r="C481" s="69"/>
      <c r="D481" s="64" t="str">
        <f t="shared" si="71"/>
        <v/>
      </c>
      <c r="E481" s="69"/>
      <c r="F481" s="64" t="str">
        <f t="shared" si="74"/>
        <v/>
      </c>
      <c r="G481" s="102"/>
      <c r="H481" s="64" t="str">
        <f t="shared" si="72"/>
        <v/>
      </c>
      <c r="I481" s="64" t="str">
        <f t="shared" si="73"/>
        <v/>
      </c>
      <c r="J481" s="101"/>
      <c r="K481" s="101"/>
      <c r="L481" s="101"/>
      <c r="M481" s="68"/>
      <c r="O481" t="str">
        <f t="shared" si="67"/>
        <v/>
      </c>
      <c r="P481" t="str">
        <f t="shared" si="68"/>
        <v/>
      </c>
      <c r="Q481" t="str">
        <f t="shared" si="69"/>
        <v/>
      </c>
      <c r="R481" t="str">
        <f t="shared" si="70"/>
        <v/>
      </c>
    </row>
    <row r="482" spans="1:18">
      <c r="A482" s="64" t="str">
        <f>IF(C482="","",VLOOKUP('OPĆI DIO'!$C$3,'OPĆI DIO'!$L$6:$U$138,10,FALSE))</f>
        <v/>
      </c>
      <c r="B482" s="64" t="str">
        <f>IF(C482="","",VLOOKUP('OPĆI DIO'!$C$3,'OPĆI DIO'!$L$6:$U$138,9,FALSE))</f>
        <v/>
      </c>
      <c r="C482" s="69"/>
      <c r="D482" s="64" t="str">
        <f t="shared" si="71"/>
        <v/>
      </c>
      <c r="E482" s="69"/>
      <c r="F482" s="64" t="str">
        <f t="shared" si="74"/>
        <v/>
      </c>
      <c r="G482" s="102"/>
      <c r="H482" s="64" t="str">
        <f t="shared" si="72"/>
        <v/>
      </c>
      <c r="I482" s="64" t="str">
        <f t="shared" si="73"/>
        <v/>
      </c>
      <c r="J482" s="101"/>
      <c r="K482" s="101"/>
      <c r="L482" s="101"/>
      <c r="M482" s="68"/>
      <c r="O482" t="str">
        <f t="shared" si="67"/>
        <v/>
      </c>
      <c r="P482" t="str">
        <f t="shared" si="68"/>
        <v/>
      </c>
      <c r="Q482" t="str">
        <f t="shared" si="69"/>
        <v/>
      </c>
      <c r="R482" t="str">
        <f t="shared" si="70"/>
        <v/>
      </c>
    </row>
    <row r="483" spans="1:18">
      <c r="A483" s="64" t="str">
        <f>IF(C483="","",VLOOKUP('OPĆI DIO'!$C$3,'OPĆI DIO'!$L$6:$U$138,10,FALSE))</f>
        <v/>
      </c>
      <c r="B483" s="64" t="str">
        <f>IF(C483="","",VLOOKUP('OPĆI DIO'!$C$3,'OPĆI DIO'!$L$6:$U$138,9,FALSE))</f>
        <v/>
      </c>
      <c r="C483" s="69"/>
      <c r="D483" s="64" t="str">
        <f t="shared" si="71"/>
        <v/>
      </c>
      <c r="E483" s="69"/>
      <c r="F483" s="64" t="str">
        <f t="shared" si="74"/>
        <v/>
      </c>
      <c r="G483" s="102"/>
      <c r="H483" s="64" t="str">
        <f t="shared" si="72"/>
        <v/>
      </c>
      <c r="I483" s="64" t="str">
        <f t="shared" si="73"/>
        <v/>
      </c>
      <c r="J483" s="101"/>
      <c r="K483" s="101"/>
      <c r="L483" s="101"/>
      <c r="M483" s="68"/>
      <c r="O483" t="str">
        <f t="shared" si="67"/>
        <v/>
      </c>
      <c r="P483" t="str">
        <f t="shared" si="68"/>
        <v/>
      </c>
      <c r="Q483" t="str">
        <f t="shared" si="69"/>
        <v/>
      </c>
      <c r="R483" t="str">
        <f t="shared" si="70"/>
        <v/>
      </c>
    </row>
    <row r="484" spans="1:18">
      <c r="A484" s="64" t="str">
        <f>IF(C484="","",VLOOKUP('OPĆI DIO'!$C$3,'OPĆI DIO'!$L$6:$U$138,10,FALSE))</f>
        <v/>
      </c>
      <c r="B484" s="64" t="str">
        <f>IF(C484="","",VLOOKUP('OPĆI DIO'!$C$3,'OPĆI DIO'!$L$6:$U$138,9,FALSE))</f>
        <v/>
      </c>
      <c r="C484" s="69"/>
      <c r="D484" s="64" t="str">
        <f t="shared" si="71"/>
        <v/>
      </c>
      <c r="E484" s="69"/>
      <c r="F484" s="64" t="str">
        <f t="shared" si="74"/>
        <v/>
      </c>
      <c r="G484" s="102"/>
      <c r="H484" s="64" t="str">
        <f t="shared" si="72"/>
        <v/>
      </c>
      <c r="I484" s="64" t="str">
        <f t="shared" si="73"/>
        <v/>
      </c>
      <c r="J484" s="101"/>
      <c r="K484" s="101"/>
      <c r="L484" s="101"/>
      <c r="M484" s="68"/>
      <c r="O484" t="str">
        <f t="shared" si="67"/>
        <v/>
      </c>
      <c r="P484" t="str">
        <f t="shared" si="68"/>
        <v/>
      </c>
      <c r="Q484" t="str">
        <f t="shared" si="69"/>
        <v/>
      </c>
      <c r="R484" t="str">
        <f t="shared" si="70"/>
        <v/>
      </c>
    </row>
    <row r="485" spans="1:18">
      <c r="A485" s="64" t="str">
        <f>IF(C485="","",VLOOKUP('OPĆI DIO'!$C$3,'OPĆI DIO'!$L$6:$U$138,10,FALSE))</f>
        <v/>
      </c>
      <c r="B485" s="64" t="str">
        <f>IF(C485="","",VLOOKUP('OPĆI DIO'!$C$3,'OPĆI DIO'!$L$6:$U$138,9,FALSE))</f>
        <v/>
      </c>
      <c r="C485" s="69"/>
      <c r="D485" s="64" t="str">
        <f t="shared" si="71"/>
        <v/>
      </c>
      <c r="E485" s="69"/>
      <c r="F485" s="64" t="str">
        <f t="shared" si="74"/>
        <v/>
      </c>
      <c r="G485" s="102"/>
      <c r="H485" s="64" t="str">
        <f t="shared" si="72"/>
        <v/>
      </c>
      <c r="I485" s="64" t="str">
        <f t="shared" si="73"/>
        <v/>
      </c>
      <c r="J485" s="101"/>
      <c r="K485" s="101"/>
      <c r="L485" s="101"/>
      <c r="M485" s="68"/>
      <c r="O485" t="str">
        <f t="shared" si="67"/>
        <v/>
      </c>
      <c r="P485" t="str">
        <f t="shared" si="68"/>
        <v/>
      </c>
      <c r="Q485" t="str">
        <f t="shared" si="69"/>
        <v/>
      </c>
      <c r="R485" t="str">
        <f t="shared" si="70"/>
        <v/>
      </c>
    </row>
    <row r="486" spans="1:18">
      <c r="A486" s="64" t="str">
        <f>IF(C486="","",VLOOKUP('OPĆI DIO'!$C$3,'OPĆI DIO'!$L$6:$U$138,10,FALSE))</f>
        <v/>
      </c>
      <c r="B486" s="64" t="str">
        <f>IF(C486="","",VLOOKUP('OPĆI DIO'!$C$3,'OPĆI DIO'!$L$6:$U$138,9,FALSE))</f>
        <v/>
      </c>
      <c r="C486" s="69"/>
      <c r="D486" s="64" t="str">
        <f t="shared" si="71"/>
        <v/>
      </c>
      <c r="E486" s="69"/>
      <c r="F486" s="64" t="str">
        <f t="shared" si="74"/>
        <v/>
      </c>
      <c r="G486" s="102"/>
      <c r="H486" s="64" t="str">
        <f t="shared" si="72"/>
        <v/>
      </c>
      <c r="I486" s="64" t="str">
        <f t="shared" si="73"/>
        <v/>
      </c>
      <c r="J486" s="101"/>
      <c r="K486" s="101"/>
      <c r="L486" s="101"/>
      <c r="M486" s="68"/>
      <c r="O486" t="str">
        <f t="shared" si="67"/>
        <v/>
      </c>
      <c r="P486" t="str">
        <f t="shared" si="68"/>
        <v/>
      </c>
      <c r="Q486" t="str">
        <f t="shared" si="69"/>
        <v/>
      </c>
      <c r="R486" t="str">
        <f t="shared" si="70"/>
        <v/>
      </c>
    </row>
    <row r="487" spans="1:18">
      <c r="A487" s="64" t="str">
        <f>IF(C487="","",VLOOKUP('OPĆI DIO'!$C$3,'OPĆI DIO'!$L$6:$U$138,10,FALSE))</f>
        <v/>
      </c>
      <c r="B487" s="64" t="str">
        <f>IF(C487="","",VLOOKUP('OPĆI DIO'!$C$3,'OPĆI DIO'!$L$6:$U$138,9,FALSE))</f>
        <v/>
      </c>
      <c r="C487" s="69"/>
      <c r="D487" s="64" t="str">
        <f t="shared" si="71"/>
        <v/>
      </c>
      <c r="E487" s="69"/>
      <c r="F487" s="64" t="str">
        <f t="shared" si="74"/>
        <v/>
      </c>
      <c r="G487" s="102"/>
      <c r="H487" s="64" t="str">
        <f t="shared" si="72"/>
        <v/>
      </c>
      <c r="I487" s="64" t="str">
        <f t="shared" si="73"/>
        <v/>
      </c>
      <c r="J487" s="101"/>
      <c r="K487" s="101"/>
      <c r="L487" s="101"/>
      <c r="M487" s="68"/>
      <c r="O487" t="str">
        <f t="shared" si="67"/>
        <v/>
      </c>
      <c r="P487" t="str">
        <f t="shared" si="68"/>
        <v/>
      </c>
      <c r="Q487" t="str">
        <f t="shared" si="69"/>
        <v/>
      </c>
      <c r="R487" t="str">
        <f t="shared" si="70"/>
        <v/>
      </c>
    </row>
    <row r="488" spans="1:18">
      <c r="A488" s="64" t="str">
        <f>IF(C488="","",VLOOKUP('OPĆI DIO'!$C$3,'OPĆI DIO'!$L$6:$U$138,10,FALSE))</f>
        <v/>
      </c>
      <c r="B488" s="64" t="str">
        <f>IF(C488="","",VLOOKUP('OPĆI DIO'!$C$3,'OPĆI DIO'!$L$6:$U$138,9,FALSE))</f>
        <v/>
      </c>
      <c r="C488" s="69"/>
      <c r="D488" s="64" t="str">
        <f t="shared" si="71"/>
        <v/>
      </c>
      <c r="E488" s="69"/>
      <c r="F488" s="64" t="str">
        <f t="shared" si="74"/>
        <v/>
      </c>
      <c r="G488" s="102"/>
      <c r="H488" s="64" t="str">
        <f t="shared" si="72"/>
        <v/>
      </c>
      <c r="I488" s="64" t="str">
        <f t="shared" si="73"/>
        <v/>
      </c>
      <c r="J488" s="101"/>
      <c r="K488" s="101"/>
      <c r="L488" s="101"/>
      <c r="M488" s="68"/>
      <c r="O488" t="str">
        <f t="shared" si="67"/>
        <v/>
      </c>
      <c r="P488" t="str">
        <f t="shared" si="68"/>
        <v/>
      </c>
      <c r="Q488" t="str">
        <f t="shared" si="69"/>
        <v/>
      </c>
      <c r="R488" t="str">
        <f t="shared" si="70"/>
        <v/>
      </c>
    </row>
    <row r="489" spans="1:18">
      <c r="A489" s="64" t="str">
        <f>IF(C489="","",VLOOKUP('OPĆI DIO'!$C$3,'OPĆI DIO'!$L$6:$U$138,10,FALSE))</f>
        <v/>
      </c>
      <c r="B489" s="64" t="str">
        <f>IF(C489="","",VLOOKUP('OPĆI DIO'!$C$3,'OPĆI DIO'!$L$6:$U$138,9,FALSE))</f>
        <v/>
      </c>
      <c r="C489" s="69"/>
      <c r="D489" s="64" t="str">
        <f t="shared" si="71"/>
        <v/>
      </c>
      <c r="E489" s="69"/>
      <c r="F489" s="64" t="str">
        <f t="shared" si="74"/>
        <v/>
      </c>
      <c r="G489" s="102"/>
      <c r="H489" s="64" t="str">
        <f t="shared" si="72"/>
        <v/>
      </c>
      <c r="I489" s="64" t="str">
        <f t="shared" si="73"/>
        <v/>
      </c>
      <c r="J489" s="101"/>
      <c r="K489" s="101"/>
      <c r="L489" s="101"/>
      <c r="M489" s="68"/>
      <c r="O489" t="str">
        <f t="shared" si="67"/>
        <v/>
      </c>
      <c r="P489" t="str">
        <f t="shared" si="68"/>
        <v/>
      </c>
      <c r="Q489" t="str">
        <f t="shared" si="69"/>
        <v/>
      </c>
      <c r="R489" t="str">
        <f t="shared" si="70"/>
        <v/>
      </c>
    </row>
    <row r="490" spans="1:18">
      <c r="A490" s="64" t="str">
        <f>IF(C490="","",VLOOKUP('OPĆI DIO'!$C$3,'OPĆI DIO'!$L$6:$U$138,10,FALSE))</f>
        <v/>
      </c>
      <c r="B490" s="64" t="str">
        <f>IF(C490="","",VLOOKUP('OPĆI DIO'!$C$3,'OPĆI DIO'!$L$6:$U$138,9,FALSE))</f>
        <v/>
      </c>
      <c r="C490" s="69"/>
      <c r="D490" s="64" t="str">
        <f t="shared" si="71"/>
        <v/>
      </c>
      <c r="E490" s="69"/>
      <c r="F490" s="64" t="str">
        <f t="shared" si="74"/>
        <v/>
      </c>
      <c r="G490" s="102"/>
      <c r="H490" s="64" t="str">
        <f t="shared" si="72"/>
        <v/>
      </c>
      <c r="I490" s="64" t="str">
        <f t="shared" si="73"/>
        <v/>
      </c>
      <c r="J490" s="101"/>
      <c r="K490" s="101"/>
      <c r="L490" s="101"/>
      <c r="M490" s="68"/>
      <c r="O490" t="str">
        <f t="shared" si="67"/>
        <v/>
      </c>
      <c r="P490" t="str">
        <f t="shared" si="68"/>
        <v/>
      </c>
      <c r="Q490" t="str">
        <f t="shared" si="69"/>
        <v/>
      </c>
      <c r="R490" t="str">
        <f t="shared" si="70"/>
        <v/>
      </c>
    </row>
    <row r="491" spans="1:18">
      <c r="A491" s="64" t="str">
        <f>IF(C491="","",VLOOKUP('OPĆI DIO'!$C$3,'OPĆI DIO'!$L$6:$U$138,10,FALSE))</f>
        <v/>
      </c>
      <c r="B491" s="64" t="str">
        <f>IF(C491="","",VLOOKUP('OPĆI DIO'!$C$3,'OPĆI DIO'!$L$6:$U$138,9,FALSE))</f>
        <v/>
      </c>
      <c r="C491" s="69"/>
      <c r="D491" s="64" t="str">
        <f t="shared" si="71"/>
        <v/>
      </c>
      <c r="E491" s="69"/>
      <c r="F491" s="64" t="str">
        <f t="shared" si="74"/>
        <v/>
      </c>
      <c r="G491" s="102"/>
      <c r="H491" s="64" t="str">
        <f t="shared" si="72"/>
        <v/>
      </c>
      <c r="I491" s="64" t="str">
        <f t="shared" si="73"/>
        <v/>
      </c>
      <c r="J491" s="101"/>
      <c r="K491" s="101"/>
      <c r="L491" s="101"/>
      <c r="M491" s="68"/>
      <c r="O491" t="str">
        <f t="shared" si="67"/>
        <v/>
      </c>
      <c r="P491" t="str">
        <f t="shared" si="68"/>
        <v/>
      </c>
      <c r="Q491" t="str">
        <f t="shared" si="69"/>
        <v/>
      </c>
      <c r="R491" t="str">
        <f t="shared" si="70"/>
        <v/>
      </c>
    </row>
    <row r="492" spans="1:18">
      <c r="A492" s="64" t="str">
        <f>IF(C492="","",VLOOKUP('OPĆI DIO'!$C$3,'OPĆI DIO'!$L$6:$U$138,10,FALSE))</f>
        <v/>
      </c>
      <c r="B492" s="64" t="str">
        <f>IF(C492="","",VLOOKUP('OPĆI DIO'!$C$3,'OPĆI DIO'!$L$6:$U$138,9,FALSE))</f>
        <v/>
      </c>
      <c r="C492" s="69"/>
      <c r="D492" s="64" t="str">
        <f t="shared" si="71"/>
        <v/>
      </c>
      <c r="E492" s="69"/>
      <c r="F492" s="64" t="str">
        <f t="shared" si="74"/>
        <v/>
      </c>
      <c r="G492" s="102"/>
      <c r="H492" s="64" t="str">
        <f t="shared" si="72"/>
        <v/>
      </c>
      <c r="I492" s="64" t="str">
        <f t="shared" si="73"/>
        <v/>
      </c>
      <c r="J492" s="101"/>
      <c r="K492" s="101"/>
      <c r="L492" s="101"/>
      <c r="M492" s="68"/>
      <c r="O492" t="str">
        <f t="shared" si="67"/>
        <v/>
      </c>
      <c r="P492" t="str">
        <f t="shared" si="68"/>
        <v/>
      </c>
      <c r="Q492" t="str">
        <f t="shared" si="69"/>
        <v/>
      </c>
      <c r="R492" t="str">
        <f t="shared" si="70"/>
        <v/>
      </c>
    </row>
    <row r="493" spans="1:18">
      <c r="A493" s="64" t="str">
        <f>IF(C493="","",VLOOKUP('OPĆI DIO'!$C$3,'OPĆI DIO'!$L$6:$U$138,10,FALSE))</f>
        <v/>
      </c>
      <c r="B493" s="64" t="str">
        <f>IF(C493="","",VLOOKUP('OPĆI DIO'!$C$3,'OPĆI DIO'!$L$6:$U$138,9,FALSE))</f>
        <v/>
      </c>
      <c r="C493" s="69"/>
      <c r="D493" s="64" t="str">
        <f t="shared" si="71"/>
        <v/>
      </c>
      <c r="E493" s="69"/>
      <c r="F493" s="64" t="str">
        <f t="shared" si="74"/>
        <v/>
      </c>
      <c r="G493" s="102"/>
      <c r="H493" s="64" t="str">
        <f t="shared" si="72"/>
        <v/>
      </c>
      <c r="I493" s="64" t="str">
        <f t="shared" si="73"/>
        <v/>
      </c>
      <c r="J493" s="101"/>
      <c r="K493" s="101"/>
      <c r="L493" s="101"/>
      <c r="M493" s="68"/>
      <c r="O493" t="str">
        <f t="shared" si="67"/>
        <v/>
      </c>
      <c r="P493" t="str">
        <f t="shared" si="68"/>
        <v/>
      </c>
      <c r="Q493" t="str">
        <f t="shared" si="69"/>
        <v/>
      </c>
      <c r="R493" t="str">
        <f t="shared" si="70"/>
        <v/>
      </c>
    </row>
    <row r="494" spans="1:18">
      <c r="A494" s="64" t="str">
        <f>IF(C494="","",VLOOKUP('OPĆI DIO'!$C$3,'OPĆI DIO'!$L$6:$U$138,10,FALSE))</f>
        <v/>
      </c>
      <c r="B494" s="64" t="str">
        <f>IF(C494="","",VLOOKUP('OPĆI DIO'!$C$3,'OPĆI DIO'!$L$6:$U$138,9,FALSE))</f>
        <v/>
      </c>
      <c r="C494" s="69"/>
      <c r="D494" s="64" t="str">
        <f t="shared" si="71"/>
        <v/>
      </c>
      <c r="E494" s="69"/>
      <c r="F494" s="64" t="str">
        <f t="shared" si="74"/>
        <v/>
      </c>
      <c r="G494" s="102"/>
      <c r="H494" s="64" t="str">
        <f t="shared" si="72"/>
        <v/>
      </c>
      <c r="I494" s="64" t="str">
        <f t="shared" si="73"/>
        <v/>
      </c>
      <c r="J494" s="101"/>
      <c r="K494" s="101"/>
      <c r="L494" s="101"/>
      <c r="M494" s="68"/>
      <c r="O494" t="str">
        <f t="shared" si="67"/>
        <v/>
      </c>
      <c r="P494" t="str">
        <f t="shared" si="68"/>
        <v/>
      </c>
      <c r="Q494" t="str">
        <f t="shared" si="69"/>
        <v/>
      </c>
      <c r="R494" t="str">
        <f t="shared" si="70"/>
        <v/>
      </c>
    </row>
    <row r="495" spans="1:18">
      <c r="A495" s="64" t="str">
        <f>IF(C495="","",VLOOKUP('OPĆI DIO'!$C$3,'OPĆI DIO'!$L$6:$U$138,10,FALSE))</f>
        <v/>
      </c>
      <c r="B495" s="64" t="str">
        <f>IF(C495="","",VLOOKUP('OPĆI DIO'!$C$3,'OPĆI DIO'!$L$6:$U$138,9,FALSE))</f>
        <v/>
      </c>
      <c r="C495" s="69"/>
      <c r="D495" s="64" t="str">
        <f t="shared" si="71"/>
        <v/>
      </c>
      <c r="E495" s="69"/>
      <c r="F495" s="64" t="str">
        <f t="shared" si="74"/>
        <v/>
      </c>
      <c r="G495" s="102"/>
      <c r="H495" s="64" t="str">
        <f t="shared" si="72"/>
        <v/>
      </c>
      <c r="I495" s="64" t="str">
        <f t="shared" si="73"/>
        <v/>
      </c>
      <c r="J495" s="101"/>
      <c r="K495" s="101"/>
      <c r="L495" s="101"/>
      <c r="M495" s="68"/>
      <c r="O495" t="str">
        <f t="shared" si="67"/>
        <v/>
      </c>
      <c r="P495" t="str">
        <f t="shared" si="68"/>
        <v/>
      </c>
      <c r="Q495" t="str">
        <f t="shared" si="69"/>
        <v/>
      </c>
      <c r="R495" t="str">
        <f t="shared" si="70"/>
        <v/>
      </c>
    </row>
    <row r="496" spans="1:18">
      <c r="A496" s="64" t="str">
        <f>IF(C496="","",VLOOKUP('OPĆI DIO'!$C$3,'OPĆI DIO'!$L$6:$U$138,10,FALSE))</f>
        <v/>
      </c>
      <c r="B496" s="64" t="str">
        <f>IF(C496="","",VLOOKUP('OPĆI DIO'!$C$3,'OPĆI DIO'!$L$6:$U$138,9,FALSE))</f>
        <v/>
      </c>
      <c r="C496" s="69"/>
      <c r="D496" s="64" t="str">
        <f t="shared" si="71"/>
        <v/>
      </c>
      <c r="E496" s="69"/>
      <c r="F496" s="64" t="str">
        <f t="shared" si="74"/>
        <v/>
      </c>
      <c r="G496" s="102"/>
      <c r="H496" s="64" t="str">
        <f t="shared" si="72"/>
        <v/>
      </c>
      <c r="I496" s="64" t="str">
        <f t="shared" si="73"/>
        <v/>
      </c>
      <c r="J496" s="101"/>
      <c r="K496" s="101"/>
      <c r="L496" s="101"/>
      <c r="M496" s="68"/>
      <c r="O496" t="str">
        <f t="shared" si="67"/>
        <v/>
      </c>
      <c r="P496" t="str">
        <f t="shared" si="68"/>
        <v/>
      </c>
      <c r="Q496" t="str">
        <f t="shared" si="69"/>
        <v/>
      </c>
      <c r="R496" t="str">
        <f t="shared" si="70"/>
        <v/>
      </c>
    </row>
    <row r="497" spans="1:18">
      <c r="A497" s="64" t="str">
        <f>IF(C497="","",VLOOKUP('OPĆI DIO'!$C$3,'OPĆI DIO'!$L$6:$U$138,10,FALSE))</f>
        <v/>
      </c>
      <c r="B497" s="64" t="str">
        <f>IF(C497="","",VLOOKUP('OPĆI DIO'!$C$3,'OPĆI DIO'!$L$6:$U$138,9,FALSE))</f>
        <v/>
      </c>
      <c r="C497" s="69"/>
      <c r="D497" s="64" t="str">
        <f t="shared" si="71"/>
        <v/>
      </c>
      <c r="E497" s="69"/>
      <c r="F497" s="64" t="str">
        <f t="shared" si="74"/>
        <v/>
      </c>
      <c r="G497" s="102"/>
      <c r="H497" s="64" t="str">
        <f t="shared" si="72"/>
        <v/>
      </c>
      <c r="I497" s="64" t="str">
        <f t="shared" si="73"/>
        <v/>
      </c>
      <c r="J497" s="101"/>
      <c r="K497" s="101"/>
      <c r="L497" s="101"/>
      <c r="M497" s="68"/>
      <c r="O497" t="str">
        <f t="shared" si="67"/>
        <v/>
      </c>
      <c r="P497" t="str">
        <f t="shared" si="68"/>
        <v/>
      </c>
      <c r="Q497" t="str">
        <f t="shared" si="69"/>
        <v/>
      </c>
      <c r="R497" t="str">
        <f t="shared" si="70"/>
        <v/>
      </c>
    </row>
    <row r="498" spans="1:18">
      <c r="A498" s="64" t="str">
        <f>IF(C498="","",VLOOKUP('OPĆI DIO'!$C$3,'OPĆI DIO'!$L$6:$U$138,10,FALSE))</f>
        <v/>
      </c>
      <c r="B498" s="64" t="str">
        <f>IF(C498="","",VLOOKUP('OPĆI DIO'!$C$3,'OPĆI DIO'!$L$6:$U$138,9,FALSE))</f>
        <v/>
      </c>
      <c r="C498" s="69"/>
      <c r="D498" s="64" t="str">
        <f t="shared" si="71"/>
        <v/>
      </c>
      <c r="E498" s="69"/>
      <c r="F498" s="64" t="str">
        <f t="shared" si="74"/>
        <v/>
      </c>
      <c r="G498" s="102"/>
      <c r="H498" s="64" t="str">
        <f t="shared" si="72"/>
        <v/>
      </c>
      <c r="I498" s="64" t="str">
        <f t="shared" si="73"/>
        <v/>
      </c>
      <c r="J498" s="101"/>
      <c r="K498" s="101"/>
      <c r="L498" s="101"/>
      <c r="M498" s="68"/>
      <c r="O498" t="str">
        <f t="shared" si="67"/>
        <v/>
      </c>
      <c r="P498" t="str">
        <f t="shared" si="68"/>
        <v/>
      </c>
      <c r="Q498" t="str">
        <f t="shared" si="69"/>
        <v/>
      </c>
      <c r="R498" t="str">
        <f t="shared" si="70"/>
        <v/>
      </c>
    </row>
    <row r="499" spans="1:18"/>
    <row r="500" spans="1:18"/>
    <row r="501" spans="1:18"/>
    <row r="502" spans="1:18"/>
    <row r="503" spans="1:18"/>
    <row r="504" spans="1:18"/>
    <row r="505" spans="1:18"/>
    <row r="506" spans="1:18"/>
    <row r="507" spans="1:18"/>
    <row r="508" spans="1:18"/>
    <row r="509" spans="1:18"/>
    <row r="510" spans="1:18"/>
    <row r="511" spans="1:18"/>
    <row r="512" spans="1:18"/>
    <row r="513"/>
    <row r="514"/>
    <row r="515"/>
    <row r="516"/>
    <row r="517"/>
    <row r="518"/>
    <row r="519"/>
    <row r="520"/>
    <row r="521"/>
    <row r="522"/>
  </sheetData>
  <sheetProtection selectLockedCells="1"/>
  <autoFilter ref="A2:AG498" xr:uid="{00000000-0001-0000-0200-000000000000}"/>
  <sortState xmlns:xlrd2="http://schemas.microsoft.com/office/spreadsheetml/2017/richdata2" ref="AB9:AC71">
    <sortCondition ref="AB6"/>
  </sortState>
  <mergeCells count="1">
    <mergeCell ref="A1:D1"/>
  </mergeCells>
  <phoneticPr fontId="81" type="noConversion"/>
  <conditionalFormatting sqref="M3:M498">
    <cfRule type="expression" dxfId="0" priority="1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498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498" xr:uid="{00000000-0002-0000-0200-000001000000}">
      <formula1>$V$5:$V$127</formula1>
    </dataValidation>
    <dataValidation type="list" allowBlank="1" showInputMessage="1" showErrorMessage="1" errorTitle="GREŠKA" error="Za unos odaberite vrijednost iz padajućeg izbornika!" prompt="Molimo odaberite vrijednost iz padajućeg izbornika!" sqref="C3:C498" xr:uid="{00000000-0002-0000-0200-000002000000}">
      <formula1>$S$6:$S$24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498" xr:uid="{00000000-0002-0000-0200-000003000000}">
      <formula1>$AB$6:$AB$324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M3:M498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AG1085"/>
  <sheetViews>
    <sheetView showGridLines="0" zoomScale="80" zoomScaleNormal="80" workbookViewId="0">
      <pane ySplit="2" topLeftCell="A9" activePane="bottomLeft" state="frozen"/>
      <selection pane="bottomLeft" activeCell="J9" sqref="J9:J51"/>
    </sheetView>
  </sheetViews>
  <sheetFormatPr defaultColWidth="9.140625" defaultRowHeight="1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5" customWidth="1"/>
    <col min="9" max="9" width="15.7109375" style="5" customWidth="1"/>
    <col min="10" max="10" width="15.140625" style="5" customWidth="1"/>
    <col min="11" max="11" width="33.7109375" style="5" customWidth="1"/>
    <col min="12" max="13" width="9.5703125" style="5" customWidth="1"/>
    <col min="14" max="14" width="15.140625" style="5" customWidth="1"/>
    <col min="15" max="15" width="18.28515625" style="5" customWidth="1"/>
    <col min="16" max="16" width="51.7109375" style="5" customWidth="1"/>
    <col min="17" max="21" width="9.140625" customWidth="1"/>
    <col min="22" max="22" width="46.5703125" customWidth="1"/>
    <col min="23" max="24" width="9.140625" customWidth="1"/>
    <col min="25" max="25" width="58.85546875" customWidth="1"/>
    <col min="26" max="29" width="9.140625" customWidth="1"/>
    <col min="30" max="30" width="14.7109375" customWidth="1"/>
  </cols>
  <sheetData>
    <row r="1" spans="1:33" ht="35.25" customHeight="1">
      <c r="A1" s="281" t="s">
        <v>1391</v>
      </c>
      <c r="B1" s="281"/>
      <c r="C1" s="105" t="str">
        <f>IF(OR('OPĆI DIO'!A3="odaberite -",'OPĆI DIO'!A3=""),"Molimo odaberite proračunskog korisnika na radnom listu Opći podaci!","")</f>
        <v>Molimo odaberite proračunskog korisnika na radnom listu Opći podaci!</v>
      </c>
      <c r="J1" s="159" t="s">
        <v>58</v>
      </c>
    </row>
    <row r="2" spans="1:33" ht="60">
      <c r="A2" s="66" t="s">
        <v>628</v>
      </c>
      <c r="B2" s="62" t="s">
        <v>479</v>
      </c>
      <c r="C2" s="66" t="s">
        <v>480</v>
      </c>
      <c r="D2" s="62" t="s">
        <v>481</v>
      </c>
      <c r="E2" s="66" t="s">
        <v>1392</v>
      </c>
      <c r="F2" s="62" t="s">
        <v>630</v>
      </c>
      <c r="G2" s="222" t="s">
        <v>631</v>
      </c>
      <c r="H2" s="253" t="s">
        <v>62</v>
      </c>
      <c r="I2" s="253" t="s">
        <v>63</v>
      </c>
      <c r="J2" s="253" t="s">
        <v>64</v>
      </c>
      <c r="K2" s="113" t="s">
        <v>1393</v>
      </c>
      <c r="L2" s="113" t="s">
        <v>1394</v>
      </c>
      <c r="M2" s="113" t="s">
        <v>1395</v>
      </c>
      <c r="N2" s="113" t="s">
        <v>1396</v>
      </c>
      <c r="O2" s="113" t="s">
        <v>1397</v>
      </c>
      <c r="P2" s="216" t="s">
        <v>632</v>
      </c>
      <c r="R2" s="63" t="s">
        <v>483</v>
      </c>
      <c r="S2" s="63" t="s">
        <v>484</v>
      </c>
      <c r="T2" s="162"/>
    </row>
    <row r="3" spans="1:33" hidden="1">
      <c r="A3" s="69">
        <v>43</v>
      </c>
      <c r="B3" s="64" t="str">
        <f t="shared" ref="B3:B66" si="0">IFERROR(VLOOKUP(A3,$U$6:$V$23,2,FALSE),"")</f>
        <v>Ostali prihodi za posebne namjene</v>
      </c>
      <c r="C3" s="69">
        <v>3111</v>
      </c>
      <c r="D3" s="64" t="str">
        <f t="shared" ref="D3:D66" si="1">IFERROR(VLOOKUP(C3,$X$5:$Z$124,2,FALSE),"")</f>
        <v>Plaće za redovan rad</v>
      </c>
      <c r="E3" s="102" t="s">
        <v>1398</v>
      </c>
      <c r="F3" s="64" t="str">
        <f t="shared" ref="F3:F33" si="2">IFERROR(VLOOKUP(E3,$AD$6:$AE$1085,2,FALSE),"")</f>
        <v>CEKOM Centar kompetencija u molekularnoj dijagnostici</v>
      </c>
      <c r="G3" s="64" t="str">
        <f t="shared" ref="G3:G66" si="3">IFERROR(VLOOKUP(E3,$AD$6:$AG$1085,4,FALSE),"")</f>
        <v>0942</v>
      </c>
      <c r="H3" s="101">
        <v>16048</v>
      </c>
      <c r="I3" s="101"/>
      <c r="J3" s="101">
        <v>17808</v>
      </c>
      <c r="K3" s="112"/>
      <c r="L3" s="111"/>
      <c r="M3" s="111"/>
      <c r="N3" s="112"/>
      <c r="O3" s="235"/>
      <c r="P3" s="68"/>
      <c r="R3" t="str">
        <f>LEFT(C3,3)</f>
        <v>311</v>
      </c>
      <c r="S3" t="str">
        <f>LEFT(C3,2)</f>
        <v>31</v>
      </c>
      <c r="T3" t="str">
        <f>MID(G3,2,2)</f>
        <v>94</v>
      </c>
    </row>
    <row r="4" spans="1:33" hidden="1">
      <c r="A4" s="69">
        <v>43</v>
      </c>
      <c r="B4" s="64" t="str">
        <f t="shared" si="0"/>
        <v>Ostali prihodi za posebne namjene</v>
      </c>
      <c r="C4" s="69">
        <v>3121</v>
      </c>
      <c r="D4" s="64" t="str">
        <f t="shared" si="1"/>
        <v>Ostali rashodi za zaposlene</v>
      </c>
      <c r="E4" s="102" t="s">
        <v>1398</v>
      </c>
      <c r="F4" s="64" t="str">
        <f t="shared" si="2"/>
        <v>CEKOM Centar kompetencija u molekularnoj dijagnostici</v>
      </c>
      <c r="G4" s="64" t="str">
        <f t="shared" si="3"/>
        <v>0942</v>
      </c>
      <c r="H4" s="101">
        <v>398</v>
      </c>
      <c r="I4" s="101"/>
      <c r="J4" s="101"/>
      <c r="K4" s="112"/>
      <c r="L4" s="111"/>
      <c r="M4" s="111"/>
      <c r="N4" s="112"/>
      <c r="O4" s="235"/>
      <c r="P4" s="68"/>
      <c r="R4" t="str">
        <f t="shared" ref="R4:R62" si="4">LEFT(C4,3)</f>
        <v>312</v>
      </c>
      <c r="S4" t="str">
        <f t="shared" ref="S4:S62" si="5">LEFT(C4,2)</f>
        <v>31</v>
      </c>
      <c r="T4" t="str">
        <f t="shared" ref="T4:T62" si="6">MID(G4,2,2)</f>
        <v>94</v>
      </c>
      <c r="X4" s="65"/>
      <c r="Y4" s="65"/>
    </row>
    <row r="5" spans="1:33" hidden="1">
      <c r="A5" s="69">
        <v>43</v>
      </c>
      <c r="B5" s="64" t="str">
        <f t="shared" si="0"/>
        <v>Ostali prihodi za posebne namjene</v>
      </c>
      <c r="C5" s="69">
        <v>3132</v>
      </c>
      <c r="D5" s="64" t="str">
        <f t="shared" si="1"/>
        <v>Doprinosi za obvezno zdravstveno osiguranje</v>
      </c>
      <c r="E5" s="102" t="s">
        <v>1398</v>
      </c>
      <c r="F5" s="64" t="str">
        <f t="shared" si="2"/>
        <v>CEKOM Centar kompetencija u molekularnoj dijagnostici</v>
      </c>
      <c r="G5" s="64" t="str">
        <f t="shared" si="3"/>
        <v>0942</v>
      </c>
      <c r="H5" s="101">
        <v>2648</v>
      </c>
      <c r="I5" s="101"/>
      <c r="J5" s="101">
        <v>2938</v>
      </c>
      <c r="K5" s="112"/>
      <c r="L5" s="111"/>
      <c r="M5" s="111"/>
      <c r="N5" s="112"/>
      <c r="O5" s="235"/>
      <c r="P5" s="68"/>
      <c r="R5" t="str">
        <f t="shared" si="4"/>
        <v>313</v>
      </c>
      <c r="S5" t="str">
        <f t="shared" si="5"/>
        <v>31</v>
      </c>
      <c r="T5" t="str">
        <f t="shared" si="6"/>
        <v>94</v>
      </c>
      <c r="U5" t="s">
        <v>478</v>
      </c>
      <c r="V5" t="s">
        <v>479</v>
      </c>
      <c r="X5">
        <v>3111</v>
      </c>
      <c r="Y5" t="s">
        <v>635</v>
      </c>
      <c r="AA5" t="str">
        <f t="shared" ref="AA5:AA63" si="7">LEFT(X5,2)</f>
        <v>31</v>
      </c>
      <c r="AB5" t="str">
        <f>LEFT(X5,3)</f>
        <v>311</v>
      </c>
      <c r="AD5" t="s">
        <v>636</v>
      </c>
      <c r="AE5" t="s">
        <v>630</v>
      </c>
    </row>
    <row r="6" spans="1:33" hidden="1">
      <c r="A6" s="69">
        <v>43</v>
      </c>
      <c r="B6" s="64" t="str">
        <f t="shared" si="0"/>
        <v>Ostali prihodi za posebne namjene</v>
      </c>
      <c r="C6" s="69">
        <v>3212</v>
      </c>
      <c r="D6" s="64" t="str">
        <f t="shared" si="1"/>
        <v>Naknade za prijevoz, za rad na terenu i odvojeni život</v>
      </c>
      <c r="E6" s="102" t="s">
        <v>1398</v>
      </c>
      <c r="F6" s="64" t="str">
        <f t="shared" si="2"/>
        <v>CEKOM Centar kompetencija u molekularnoj dijagnostici</v>
      </c>
      <c r="G6" s="64" t="str">
        <f t="shared" si="3"/>
        <v>0942</v>
      </c>
      <c r="H6" s="101">
        <v>417</v>
      </c>
      <c r="I6" s="101"/>
      <c r="J6" s="101">
        <v>379</v>
      </c>
      <c r="K6" s="112"/>
      <c r="L6" s="111"/>
      <c r="M6" s="111"/>
      <c r="N6" s="112"/>
      <c r="O6" s="235"/>
      <c r="P6" s="68"/>
      <c r="R6" t="str">
        <f t="shared" si="4"/>
        <v>321</v>
      </c>
      <c r="S6" t="str">
        <f t="shared" si="5"/>
        <v>32</v>
      </c>
      <c r="T6" t="str">
        <f t="shared" si="6"/>
        <v>94</v>
      </c>
      <c r="U6">
        <v>11</v>
      </c>
      <c r="V6" t="s">
        <v>495</v>
      </c>
      <c r="X6">
        <v>3112</v>
      </c>
      <c r="Y6" t="s">
        <v>637</v>
      </c>
      <c r="AA6" t="str">
        <f t="shared" si="7"/>
        <v>31</v>
      </c>
      <c r="AB6" t="str">
        <f t="shared" ref="AB6:AB64" si="8">LEFT(X6,3)</f>
        <v>311</v>
      </c>
      <c r="AD6" t="s">
        <v>1399</v>
      </c>
      <c r="AE6" t="s">
        <v>1399</v>
      </c>
      <c r="AF6" t="s">
        <v>1399</v>
      </c>
      <c r="AG6" t="s">
        <v>1399</v>
      </c>
    </row>
    <row r="7" spans="1:33" hidden="1">
      <c r="A7" s="69">
        <v>43</v>
      </c>
      <c r="B7" s="64" t="str">
        <f t="shared" si="0"/>
        <v>Ostali prihodi za posebne namjene</v>
      </c>
      <c r="C7" s="69">
        <v>3237</v>
      </c>
      <c r="D7" s="64" t="str">
        <f t="shared" si="1"/>
        <v>Intelektualne i osobne usluge</v>
      </c>
      <c r="E7" s="102" t="s">
        <v>1398</v>
      </c>
      <c r="F7" s="64" t="str">
        <f t="shared" si="2"/>
        <v>CEKOM Centar kompetencija u molekularnoj dijagnostici</v>
      </c>
      <c r="G7" s="64" t="str">
        <f t="shared" si="3"/>
        <v>0942</v>
      </c>
      <c r="H7" s="101">
        <f>31744+1712</f>
        <v>33456</v>
      </c>
      <c r="I7" s="101"/>
      <c r="J7" s="101">
        <f>23459+33181</f>
        <v>56640</v>
      </c>
      <c r="K7" s="112"/>
      <c r="L7" s="111"/>
      <c r="M7" s="111"/>
      <c r="N7" s="112"/>
      <c r="O7" s="235"/>
      <c r="P7" s="68"/>
      <c r="R7" t="str">
        <f t="shared" si="4"/>
        <v>323</v>
      </c>
      <c r="S7" t="str">
        <f t="shared" si="5"/>
        <v>32</v>
      </c>
      <c r="T7" t="str">
        <f t="shared" si="6"/>
        <v>94</v>
      </c>
      <c r="U7">
        <v>12</v>
      </c>
      <c r="V7" t="s">
        <v>499</v>
      </c>
      <c r="X7">
        <v>3113</v>
      </c>
      <c r="Y7" t="s">
        <v>639</v>
      </c>
      <c r="AA7" t="str">
        <f t="shared" si="7"/>
        <v>31</v>
      </c>
      <c r="AB7" t="str">
        <f t="shared" si="8"/>
        <v>311</v>
      </c>
      <c r="AD7" t="s">
        <v>1400</v>
      </c>
      <c r="AE7" t="s">
        <v>1401</v>
      </c>
      <c r="AF7" t="str">
        <f>LEFT(AD7,7)</f>
        <v>K578051</v>
      </c>
      <c r="AG7" t="str">
        <f>VLOOKUP(AF7,AKT!$C$4:$E$324,3,FALSE)</f>
        <v>0150</v>
      </c>
    </row>
    <row r="8" spans="1:33" hidden="1">
      <c r="A8" s="69">
        <v>43</v>
      </c>
      <c r="B8" s="64" t="str">
        <f t="shared" si="0"/>
        <v>Ostali prihodi za posebne namjene</v>
      </c>
      <c r="C8" s="69">
        <v>3293</v>
      </c>
      <c r="D8" s="64" t="str">
        <f t="shared" si="1"/>
        <v>Reprezentacija</v>
      </c>
      <c r="E8" s="102" t="s">
        <v>1398</v>
      </c>
      <c r="F8" s="64" t="str">
        <f t="shared" si="2"/>
        <v>CEKOM Centar kompetencija u molekularnoj dijagnostici</v>
      </c>
      <c r="G8" s="64" t="str">
        <f t="shared" si="3"/>
        <v>0942</v>
      </c>
      <c r="H8" s="101">
        <v>59</v>
      </c>
      <c r="I8" s="101"/>
      <c r="J8" s="101"/>
      <c r="K8" s="112"/>
      <c r="L8" s="111"/>
      <c r="M8" s="111"/>
      <c r="N8" s="112"/>
      <c r="O8" s="235"/>
      <c r="P8" s="68"/>
      <c r="R8" t="str">
        <f t="shared" si="4"/>
        <v>329</v>
      </c>
      <c r="S8" t="str">
        <f t="shared" si="5"/>
        <v>32</v>
      </c>
      <c r="T8" t="str">
        <f t="shared" si="6"/>
        <v>94</v>
      </c>
      <c r="U8">
        <v>31</v>
      </c>
      <c r="V8" t="s">
        <v>500</v>
      </c>
      <c r="X8">
        <v>3114</v>
      </c>
      <c r="Y8" t="s">
        <v>646</v>
      </c>
      <c r="AA8" t="str">
        <f t="shared" si="7"/>
        <v>31</v>
      </c>
      <c r="AB8" t="str">
        <f t="shared" si="8"/>
        <v>311</v>
      </c>
      <c r="AD8" t="s">
        <v>1402</v>
      </c>
      <c r="AE8" t="s">
        <v>1403</v>
      </c>
      <c r="AF8" t="str">
        <f t="shared" ref="AF8:AF66" si="9">LEFT(AD8,7)</f>
        <v>K578051</v>
      </c>
      <c r="AG8" t="str">
        <f>VLOOKUP(AF8,AKT!$C$4:$E$324,3,FALSE)</f>
        <v>0150</v>
      </c>
    </row>
    <row r="9" spans="1:33">
      <c r="A9" s="69">
        <v>51</v>
      </c>
      <c r="B9" s="64" t="str">
        <f t="shared" si="0"/>
        <v>Pomoći EU</v>
      </c>
      <c r="C9" s="69">
        <v>3211</v>
      </c>
      <c r="D9" s="64" t="str">
        <f t="shared" si="1"/>
        <v>Službena putovanja</v>
      </c>
      <c r="E9" s="102" t="s">
        <v>1404</v>
      </c>
      <c r="F9" s="64" t="str">
        <f t="shared" si="2"/>
        <v>ERASMUS+projekt FitBack</v>
      </c>
      <c r="G9" s="64" t="str">
        <f t="shared" si="3"/>
        <v>0942</v>
      </c>
      <c r="H9" s="101">
        <v>1489</v>
      </c>
      <c r="I9" s="101"/>
      <c r="J9" s="101"/>
      <c r="K9" s="112"/>
      <c r="L9" s="111"/>
      <c r="M9" s="111"/>
      <c r="N9" s="112"/>
      <c r="O9" s="235"/>
      <c r="P9" s="68"/>
      <c r="R9" t="str">
        <f t="shared" si="4"/>
        <v>321</v>
      </c>
      <c r="S9" t="str">
        <f t="shared" si="5"/>
        <v>32</v>
      </c>
      <c r="T9" t="str">
        <f t="shared" si="6"/>
        <v>94</v>
      </c>
      <c r="U9">
        <v>41</v>
      </c>
      <c r="V9" t="s">
        <v>502</v>
      </c>
      <c r="X9">
        <v>3121</v>
      </c>
      <c r="Y9" t="s">
        <v>654</v>
      </c>
      <c r="AA9" t="str">
        <f t="shared" si="7"/>
        <v>31</v>
      </c>
      <c r="AB9" t="str">
        <f t="shared" si="8"/>
        <v>312</v>
      </c>
      <c r="AD9" t="s">
        <v>1405</v>
      </c>
      <c r="AE9" t="s">
        <v>1406</v>
      </c>
      <c r="AF9" t="str">
        <f t="shared" si="9"/>
        <v>K578051</v>
      </c>
      <c r="AG9" t="str">
        <f>VLOOKUP(AF9,AKT!$C$4:$E$324,3,FALSE)</f>
        <v>0150</v>
      </c>
    </row>
    <row r="10" spans="1:33">
      <c r="A10" s="69">
        <v>51</v>
      </c>
      <c r="B10" s="64" t="str">
        <f t="shared" si="0"/>
        <v>Pomoći EU</v>
      </c>
      <c r="C10" s="69">
        <v>3211</v>
      </c>
      <c r="D10" s="64" t="str">
        <f t="shared" si="1"/>
        <v>Službena putovanja</v>
      </c>
      <c r="E10" s="102" t="s">
        <v>1407</v>
      </c>
      <c r="F10" s="64" t="str">
        <f t="shared" si="2"/>
        <v>OBZOR 2020 Znanost i tehnologija u politici pretilosti djece- STOP</v>
      </c>
      <c r="G10" s="64" t="str">
        <f t="shared" si="3"/>
        <v>0942</v>
      </c>
      <c r="H10" s="101">
        <f>154+264+289</f>
        <v>707</v>
      </c>
      <c r="I10" s="101"/>
      <c r="J10" s="101"/>
      <c r="K10" s="112"/>
      <c r="L10" s="111"/>
      <c r="M10" s="111"/>
      <c r="N10" s="112"/>
      <c r="O10" s="235"/>
      <c r="P10" s="68"/>
      <c r="R10" t="str">
        <f t="shared" si="4"/>
        <v>321</v>
      </c>
      <c r="S10" t="str">
        <f t="shared" si="5"/>
        <v>32</v>
      </c>
      <c r="T10" t="str">
        <f t="shared" si="6"/>
        <v>94</v>
      </c>
      <c r="U10">
        <v>43</v>
      </c>
      <c r="V10" t="s">
        <v>505</v>
      </c>
      <c r="X10" s="109">
        <v>3132</v>
      </c>
      <c r="Y10" s="109" t="s">
        <v>660</v>
      </c>
      <c r="Z10" s="109"/>
      <c r="AA10" s="109" t="str">
        <f t="shared" si="7"/>
        <v>31</v>
      </c>
      <c r="AB10" s="109" t="str">
        <f t="shared" si="8"/>
        <v>313</v>
      </c>
      <c r="AD10" t="s">
        <v>1408</v>
      </c>
      <c r="AE10" t="s">
        <v>1409</v>
      </c>
      <c r="AF10" t="str">
        <f t="shared" si="9"/>
        <v>K578051</v>
      </c>
      <c r="AG10" t="str">
        <f>VLOOKUP(AF10,AKT!$C$4:$E$324,3,FALSE)</f>
        <v>0150</v>
      </c>
    </row>
    <row r="11" spans="1:33">
      <c r="A11" s="69">
        <v>51</v>
      </c>
      <c r="B11" s="64" t="str">
        <f t="shared" si="0"/>
        <v>Pomoći EU</v>
      </c>
      <c r="C11" s="69">
        <v>3111</v>
      </c>
      <c r="D11" s="64" t="str">
        <f t="shared" si="1"/>
        <v>Plaće za redovan rad</v>
      </c>
      <c r="E11" s="102" t="s">
        <v>1410</v>
      </c>
      <c r="F11" s="64" t="str">
        <f t="shared" si="2"/>
        <v>WE-CARE Projekt: Uspostavljanjem nacionalne skrbi i razvojnim centrima podržavamo elitne sportaše u uravnoteženju rezultata sporta i obrazovanja / zapošljavanja</v>
      </c>
      <c r="G11" s="64" t="str">
        <f t="shared" si="3"/>
        <v>0942</v>
      </c>
      <c r="H11" s="101">
        <v>774</v>
      </c>
      <c r="I11" s="101"/>
      <c r="J11" s="101"/>
      <c r="K11" s="112"/>
      <c r="L11" s="111"/>
      <c r="M11" s="111"/>
      <c r="N11" s="112"/>
      <c r="O11" s="235"/>
      <c r="P11" s="68"/>
      <c r="R11" t="str">
        <f t="shared" si="4"/>
        <v>311</v>
      </c>
      <c r="S11" t="str">
        <f t="shared" si="5"/>
        <v>31</v>
      </c>
      <c r="T11" t="str">
        <f t="shared" si="6"/>
        <v>94</v>
      </c>
      <c r="U11">
        <v>51</v>
      </c>
      <c r="V11" t="s">
        <v>494</v>
      </c>
      <c r="X11">
        <v>3211</v>
      </c>
      <c r="Y11" t="s">
        <v>663</v>
      </c>
      <c r="AA11" t="str">
        <f t="shared" si="7"/>
        <v>32</v>
      </c>
      <c r="AB11" t="str">
        <f t="shared" si="8"/>
        <v>321</v>
      </c>
      <c r="AD11" t="s">
        <v>1411</v>
      </c>
      <c r="AE11" t="s">
        <v>1412</v>
      </c>
      <c r="AF11" t="str">
        <f t="shared" si="9"/>
        <v>K578051</v>
      </c>
      <c r="AG11" t="str">
        <f>VLOOKUP(AF11,AKT!$C$4:$E$324,3,FALSE)</f>
        <v>0150</v>
      </c>
    </row>
    <row r="12" spans="1:33">
      <c r="A12" s="69">
        <v>51</v>
      </c>
      <c r="B12" s="64" t="str">
        <f t="shared" si="0"/>
        <v>Pomoći EU</v>
      </c>
      <c r="C12" s="69">
        <v>3132</v>
      </c>
      <c r="D12" s="64" t="str">
        <f t="shared" si="1"/>
        <v>Doprinosi za obvezno zdravstveno osiguranje</v>
      </c>
      <c r="E12" s="102" t="s">
        <v>1410</v>
      </c>
      <c r="F12" s="64" t="str">
        <f t="shared" si="2"/>
        <v>WE-CARE Projekt: Uspostavljanjem nacionalne skrbi i razvojnim centrima podržavamo elitne sportaše u uravnoteženju rezultata sporta i obrazovanja / zapošljavanja</v>
      </c>
      <c r="G12" s="64" t="str">
        <f t="shared" si="3"/>
        <v>0942</v>
      </c>
      <c r="H12" s="101">
        <v>128</v>
      </c>
      <c r="I12" s="101"/>
      <c r="J12" s="101"/>
      <c r="K12" s="112"/>
      <c r="L12" s="111"/>
      <c r="M12" s="111"/>
      <c r="N12" s="112"/>
      <c r="O12" s="235"/>
      <c r="P12" s="68"/>
      <c r="R12" t="str">
        <f t="shared" si="4"/>
        <v>313</v>
      </c>
      <c r="S12" t="str">
        <f t="shared" si="5"/>
        <v>31</v>
      </c>
      <c r="T12" t="str">
        <f t="shared" si="6"/>
        <v>94</v>
      </c>
      <c r="U12">
        <v>52</v>
      </c>
      <c r="V12" t="s">
        <v>497</v>
      </c>
      <c r="X12">
        <v>3212</v>
      </c>
      <c r="Y12" t="s">
        <v>667</v>
      </c>
      <c r="AA12" t="str">
        <f t="shared" si="7"/>
        <v>32</v>
      </c>
      <c r="AB12" t="str">
        <f t="shared" si="8"/>
        <v>321</v>
      </c>
      <c r="AD12" t="s">
        <v>1413</v>
      </c>
      <c r="AE12" t="s">
        <v>1414</v>
      </c>
      <c r="AF12" t="str">
        <f t="shared" si="9"/>
        <v>K578051</v>
      </c>
      <c r="AG12" t="str">
        <f>VLOOKUP(AF12,AKT!$C$4:$E$324,3,FALSE)</f>
        <v>0150</v>
      </c>
    </row>
    <row r="13" spans="1:33">
      <c r="A13" s="69">
        <v>51</v>
      </c>
      <c r="B13" s="64" t="str">
        <f t="shared" si="0"/>
        <v>Pomoći EU</v>
      </c>
      <c r="C13" s="69">
        <v>3211</v>
      </c>
      <c r="D13" s="64" t="str">
        <f t="shared" si="1"/>
        <v>Službena putovanja</v>
      </c>
      <c r="E13" s="102" t="s">
        <v>1410</v>
      </c>
      <c r="F13" s="64" t="str">
        <f t="shared" si="2"/>
        <v>WE-CARE Projekt: Uspostavljanjem nacionalne skrbi i razvojnim centrima podržavamo elitne sportaše u uravnoteženju rezultata sporta i obrazovanja / zapošljavanja</v>
      </c>
      <c r="G13" s="64" t="str">
        <f t="shared" si="3"/>
        <v>0942</v>
      </c>
      <c r="H13" s="101">
        <f>1635+2456+3060</f>
        <v>7151</v>
      </c>
      <c r="I13" s="101"/>
      <c r="J13" s="101"/>
      <c r="K13" s="112"/>
      <c r="L13" s="111"/>
      <c r="M13" s="111"/>
      <c r="N13" s="112"/>
      <c r="O13" s="235"/>
      <c r="P13" s="68"/>
      <c r="R13" t="str">
        <f t="shared" si="4"/>
        <v>321</v>
      </c>
      <c r="S13" t="str">
        <f t="shared" si="5"/>
        <v>32</v>
      </c>
      <c r="T13" t="str">
        <f t="shared" si="6"/>
        <v>94</v>
      </c>
      <c r="U13">
        <v>552</v>
      </c>
      <c r="V13" t="s">
        <v>511</v>
      </c>
      <c r="X13">
        <v>3213</v>
      </c>
      <c r="Y13" t="s">
        <v>670</v>
      </c>
      <c r="AA13" t="str">
        <f t="shared" si="7"/>
        <v>32</v>
      </c>
      <c r="AB13" t="str">
        <f t="shared" si="8"/>
        <v>321</v>
      </c>
      <c r="AD13" t="s">
        <v>1415</v>
      </c>
      <c r="AE13" t="s">
        <v>1416</v>
      </c>
      <c r="AF13" t="str">
        <f t="shared" si="9"/>
        <v>K578051</v>
      </c>
      <c r="AG13" t="str">
        <f>VLOOKUP(AF13,AKT!$C$4:$E$324,3,FALSE)</f>
        <v>0150</v>
      </c>
    </row>
    <row r="14" spans="1:33">
      <c r="A14" s="69">
        <v>51</v>
      </c>
      <c r="B14" s="64" t="str">
        <f t="shared" si="0"/>
        <v>Pomoći EU</v>
      </c>
      <c r="C14" s="69">
        <v>3221</v>
      </c>
      <c r="D14" s="64" t="str">
        <f t="shared" si="1"/>
        <v>Uredski materijal i ostali materijalni rashodi</v>
      </c>
      <c r="E14" s="102" t="s">
        <v>1410</v>
      </c>
      <c r="F14" s="64" t="str">
        <f t="shared" si="2"/>
        <v>WE-CARE Projekt: Uspostavljanjem nacionalne skrbi i razvojnim centrima podržavamo elitne sportaše u uravnoteženju rezultata sporta i obrazovanja / zapošljavanja</v>
      </c>
      <c r="G14" s="64" t="str">
        <f t="shared" si="3"/>
        <v>0942</v>
      </c>
      <c r="H14" s="101">
        <v>132</v>
      </c>
      <c r="I14" s="101"/>
      <c r="J14" s="101"/>
      <c r="K14" s="112"/>
      <c r="L14" s="111"/>
      <c r="M14" s="111"/>
      <c r="N14" s="112"/>
      <c r="O14" s="235"/>
      <c r="P14" s="68"/>
      <c r="R14" t="str">
        <f t="shared" si="4"/>
        <v>322</v>
      </c>
      <c r="S14" t="str">
        <f t="shared" si="5"/>
        <v>32</v>
      </c>
      <c r="T14" t="str">
        <f t="shared" si="6"/>
        <v>94</v>
      </c>
      <c r="U14">
        <v>559</v>
      </c>
      <c r="V14" t="s">
        <v>513</v>
      </c>
      <c r="X14">
        <v>3214</v>
      </c>
      <c r="Y14" t="s">
        <v>674</v>
      </c>
      <c r="AA14" t="str">
        <f t="shared" si="7"/>
        <v>32</v>
      </c>
      <c r="AB14" t="str">
        <f t="shared" si="8"/>
        <v>321</v>
      </c>
      <c r="AD14" t="s">
        <v>1417</v>
      </c>
      <c r="AE14" t="s">
        <v>1418</v>
      </c>
      <c r="AF14" t="str">
        <f t="shared" si="9"/>
        <v>K578051</v>
      </c>
      <c r="AG14" t="str">
        <f>VLOOKUP(AF14,AKT!$C$4:$E$324,3,FALSE)</f>
        <v>0150</v>
      </c>
    </row>
    <row r="15" spans="1:33">
      <c r="A15" s="69">
        <v>51</v>
      </c>
      <c r="B15" s="64" t="str">
        <f t="shared" si="0"/>
        <v>Pomoći EU</v>
      </c>
      <c r="C15" s="69">
        <v>3237</v>
      </c>
      <c r="D15" s="64" t="str">
        <f t="shared" si="1"/>
        <v>Intelektualne i osobne usluge</v>
      </c>
      <c r="E15" s="102" t="s">
        <v>1410</v>
      </c>
      <c r="F15" s="64" t="str">
        <f t="shared" si="2"/>
        <v>WE-CARE Projekt: Uspostavljanjem nacionalne skrbi i razvojnim centrima podržavamo elitne sportaše u uravnoteženju rezultata sporta i obrazovanja / zapošljavanja</v>
      </c>
      <c r="G15" s="64" t="str">
        <f t="shared" si="3"/>
        <v>0942</v>
      </c>
      <c r="H15" s="101">
        <v>4454</v>
      </c>
      <c r="I15" s="101"/>
      <c r="J15" s="101"/>
      <c r="K15" s="112"/>
      <c r="L15" s="111"/>
      <c r="M15" s="111"/>
      <c r="N15" s="112"/>
      <c r="O15" s="235"/>
      <c r="P15" s="68"/>
      <c r="R15" t="str">
        <f t="shared" si="4"/>
        <v>323</v>
      </c>
      <c r="S15" t="str">
        <f t="shared" si="5"/>
        <v>32</v>
      </c>
      <c r="T15" t="str">
        <f t="shared" si="6"/>
        <v>94</v>
      </c>
      <c r="U15">
        <v>561</v>
      </c>
      <c r="V15" t="s">
        <v>515</v>
      </c>
      <c r="X15">
        <v>3221</v>
      </c>
      <c r="Y15" t="s">
        <v>680</v>
      </c>
      <c r="AA15" t="str">
        <f t="shared" si="7"/>
        <v>32</v>
      </c>
      <c r="AB15" t="str">
        <f t="shared" si="8"/>
        <v>322</v>
      </c>
      <c r="AD15" t="s">
        <v>1419</v>
      </c>
      <c r="AE15" t="s">
        <v>1420</v>
      </c>
      <c r="AF15" t="str">
        <f t="shared" si="9"/>
        <v>K818050</v>
      </c>
      <c r="AG15" t="str">
        <f>VLOOKUP(AF15,AKT!$C$4:$E$324,3,FALSE)</f>
        <v>0950</v>
      </c>
    </row>
    <row r="16" spans="1:33">
      <c r="A16" s="69">
        <v>51</v>
      </c>
      <c r="B16" s="64" t="str">
        <f t="shared" si="0"/>
        <v>Pomoći EU</v>
      </c>
      <c r="C16" s="69">
        <v>3241</v>
      </c>
      <c r="D16" s="64" t="str">
        <f t="shared" si="1"/>
        <v>Naknade troškova osobama izvan radnog odnosa</v>
      </c>
      <c r="E16" s="102" t="s">
        <v>1410</v>
      </c>
      <c r="F16" s="64" t="str">
        <f t="shared" si="2"/>
        <v>WE-CARE Projekt: Uspostavljanjem nacionalne skrbi i razvojnim centrima podržavamo elitne sportaše u uravnoteženju rezultata sporta i obrazovanja / zapošljavanja</v>
      </c>
      <c r="G16" s="64" t="str">
        <f t="shared" si="3"/>
        <v>0942</v>
      </c>
      <c r="H16" s="101">
        <v>908</v>
      </c>
      <c r="I16" s="101"/>
      <c r="J16" s="101"/>
      <c r="K16" s="112"/>
      <c r="L16" s="111"/>
      <c r="M16" s="111"/>
      <c r="N16" s="112"/>
      <c r="O16" s="235"/>
      <c r="P16" s="68"/>
      <c r="R16" t="str">
        <f t="shared" si="4"/>
        <v>324</v>
      </c>
      <c r="S16" t="str">
        <f t="shared" si="5"/>
        <v>32</v>
      </c>
      <c r="T16" t="str">
        <f t="shared" si="6"/>
        <v>94</v>
      </c>
      <c r="U16">
        <v>563</v>
      </c>
      <c r="V16" t="s">
        <v>517</v>
      </c>
      <c r="X16">
        <v>3222</v>
      </c>
      <c r="Y16" t="s">
        <v>683</v>
      </c>
      <c r="AA16" t="str">
        <f t="shared" si="7"/>
        <v>32</v>
      </c>
      <c r="AB16" t="str">
        <f t="shared" si="8"/>
        <v>322</v>
      </c>
      <c r="AD16" t="s">
        <v>1421</v>
      </c>
      <c r="AE16" t="s">
        <v>1422</v>
      </c>
      <c r="AF16" t="str">
        <f t="shared" si="9"/>
        <v>K818050</v>
      </c>
      <c r="AG16" t="str">
        <f>VLOOKUP(AF16,AKT!$C$4:$E$324,3,FALSE)</f>
        <v>0950</v>
      </c>
    </row>
    <row r="17" spans="1:33">
      <c r="A17" s="69">
        <v>51</v>
      </c>
      <c r="B17" s="64" t="str">
        <f t="shared" si="0"/>
        <v>Pomoći EU</v>
      </c>
      <c r="C17" s="69">
        <v>3111</v>
      </c>
      <c r="D17" s="64" t="str">
        <f t="shared" si="1"/>
        <v>Plaće za redovan rad</v>
      </c>
      <c r="E17" s="102" t="s">
        <v>1423</v>
      </c>
      <c r="F17" s="64" t="str">
        <f t="shared" si="2"/>
        <v>Projekt: Stvaranje mehanizama za kontinuiranu provedba sportskog kluba za zdravlje u Europskoj uniji</v>
      </c>
      <c r="G17" s="64" t="str">
        <f t="shared" si="3"/>
        <v>0942</v>
      </c>
      <c r="H17" s="101">
        <v>3680</v>
      </c>
      <c r="I17" s="101"/>
      <c r="J17" s="101">
        <v>1644</v>
      </c>
      <c r="K17" s="112"/>
      <c r="L17" s="111"/>
      <c r="M17" s="111"/>
      <c r="N17" s="112"/>
      <c r="O17" s="235"/>
      <c r="P17" s="68"/>
      <c r="R17" t="str">
        <f t="shared" si="4"/>
        <v>311</v>
      </c>
      <c r="S17" t="str">
        <f t="shared" si="5"/>
        <v>31</v>
      </c>
      <c r="T17" t="str">
        <f t="shared" si="6"/>
        <v>94</v>
      </c>
      <c r="U17">
        <v>573</v>
      </c>
      <c r="V17" t="s">
        <v>519</v>
      </c>
      <c r="X17">
        <v>3223</v>
      </c>
      <c r="Y17" t="s">
        <v>690</v>
      </c>
      <c r="AA17" t="str">
        <f t="shared" si="7"/>
        <v>32</v>
      </c>
      <c r="AB17" t="str">
        <f t="shared" si="8"/>
        <v>322</v>
      </c>
      <c r="AD17" t="s">
        <v>1424</v>
      </c>
      <c r="AE17" t="s">
        <v>1425</v>
      </c>
      <c r="AF17" t="str">
        <f t="shared" si="9"/>
        <v>K818050</v>
      </c>
      <c r="AG17" t="str">
        <f>VLOOKUP(AF17,AKT!$C$4:$E$324,3,FALSE)</f>
        <v>0950</v>
      </c>
    </row>
    <row r="18" spans="1:33">
      <c r="A18" s="69">
        <v>51</v>
      </c>
      <c r="B18" s="64" t="str">
        <f t="shared" si="0"/>
        <v>Pomoći EU</v>
      </c>
      <c r="C18" s="69">
        <v>3132</v>
      </c>
      <c r="D18" s="64" t="str">
        <f t="shared" si="1"/>
        <v>Doprinosi za obvezno zdravstveno osiguranje</v>
      </c>
      <c r="E18" s="102" t="s">
        <v>1423</v>
      </c>
      <c r="F18" s="64" t="str">
        <f t="shared" si="2"/>
        <v>Projekt: Stvaranje mehanizama za kontinuiranu provedba sportskog kluba za zdravlje u Europskoj uniji</v>
      </c>
      <c r="G18" s="64" t="str">
        <f t="shared" si="3"/>
        <v>0942</v>
      </c>
      <c r="H18" s="101">
        <v>607</v>
      </c>
      <c r="I18" s="101"/>
      <c r="J18" s="101">
        <v>271</v>
      </c>
      <c r="K18" s="112"/>
      <c r="L18" s="111"/>
      <c r="M18" s="111"/>
      <c r="N18" s="112"/>
      <c r="O18" s="235"/>
      <c r="P18" s="68"/>
      <c r="R18" t="str">
        <f t="shared" si="4"/>
        <v>313</v>
      </c>
      <c r="S18" t="str">
        <f t="shared" si="5"/>
        <v>31</v>
      </c>
      <c r="T18" t="str">
        <f t="shared" si="6"/>
        <v>94</v>
      </c>
      <c r="U18">
        <v>575</v>
      </c>
      <c r="V18" t="s">
        <v>521</v>
      </c>
      <c r="X18">
        <v>3224</v>
      </c>
      <c r="Y18" t="s">
        <v>693</v>
      </c>
      <c r="AA18" t="str">
        <f t="shared" si="7"/>
        <v>32</v>
      </c>
      <c r="AB18" t="str">
        <f t="shared" si="8"/>
        <v>322</v>
      </c>
      <c r="AD18" t="s">
        <v>1426</v>
      </c>
      <c r="AE18" t="s">
        <v>1427</v>
      </c>
      <c r="AF18" t="str">
        <f t="shared" si="9"/>
        <v>K818050</v>
      </c>
      <c r="AG18" t="str">
        <f>VLOOKUP(AF18,AKT!$C$4:$E$324,3,FALSE)</f>
        <v>0950</v>
      </c>
    </row>
    <row r="19" spans="1:33">
      <c r="A19" s="69">
        <v>51</v>
      </c>
      <c r="B19" s="64" t="str">
        <f t="shared" si="0"/>
        <v>Pomoći EU</v>
      </c>
      <c r="C19" s="69">
        <v>3212</v>
      </c>
      <c r="D19" s="64" t="str">
        <f t="shared" si="1"/>
        <v>Naknade za prijevoz, za rad na terenu i odvojeni život</v>
      </c>
      <c r="E19" s="102" t="s">
        <v>1423</v>
      </c>
      <c r="F19" s="64" t="str">
        <f t="shared" si="2"/>
        <v>Projekt: Stvaranje mehanizama za kontinuiranu provedba sportskog kluba za zdravlje u Europskoj uniji</v>
      </c>
      <c r="G19" s="64" t="str">
        <f t="shared" si="3"/>
        <v>0942</v>
      </c>
      <c r="H19" s="101">
        <v>116</v>
      </c>
      <c r="I19" s="101"/>
      <c r="J19" s="101">
        <v>38</v>
      </c>
      <c r="K19" s="112"/>
      <c r="L19" s="111"/>
      <c r="M19" s="111"/>
      <c r="N19" s="112"/>
      <c r="O19" s="235"/>
      <c r="P19" s="68"/>
      <c r="R19" t="str">
        <f t="shared" si="4"/>
        <v>321</v>
      </c>
      <c r="S19" t="str">
        <f t="shared" si="5"/>
        <v>32</v>
      </c>
      <c r="T19" t="str">
        <f t="shared" si="6"/>
        <v>94</v>
      </c>
      <c r="U19">
        <v>576</v>
      </c>
      <c r="V19" s="143" t="s">
        <v>1428</v>
      </c>
      <c r="X19">
        <v>3225</v>
      </c>
      <c r="Y19" t="s">
        <v>696</v>
      </c>
      <c r="AA19" t="str">
        <f t="shared" si="7"/>
        <v>32</v>
      </c>
      <c r="AB19" t="str">
        <f t="shared" si="8"/>
        <v>322</v>
      </c>
      <c r="AD19" t="s">
        <v>1429</v>
      </c>
      <c r="AE19" t="s">
        <v>1430</v>
      </c>
      <c r="AF19" t="str">
        <f t="shared" si="9"/>
        <v>K818050</v>
      </c>
      <c r="AG19" t="str">
        <f>VLOOKUP(AF19,AKT!$C$4:$E$324,3,FALSE)</f>
        <v>0950</v>
      </c>
    </row>
    <row r="20" spans="1:33">
      <c r="A20" s="69">
        <v>51</v>
      </c>
      <c r="B20" s="64" t="str">
        <f t="shared" si="0"/>
        <v>Pomoći EU</v>
      </c>
      <c r="C20" s="69">
        <v>3213</v>
      </c>
      <c r="D20" s="64" t="str">
        <f t="shared" si="1"/>
        <v>Stručno usavršavanje zaposlenika</v>
      </c>
      <c r="E20" s="102" t="s">
        <v>1423</v>
      </c>
      <c r="F20" s="64" t="str">
        <f t="shared" si="2"/>
        <v>Projekt: Stvaranje mehanizama za kontinuiranu provedba sportskog kluba za zdravlje u Europskoj uniji</v>
      </c>
      <c r="G20" s="64" t="str">
        <f t="shared" si="3"/>
        <v>0942</v>
      </c>
      <c r="H20" s="101">
        <v>20</v>
      </c>
      <c r="I20" s="101"/>
      <c r="J20" s="101"/>
      <c r="K20" s="112"/>
      <c r="L20" s="111"/>
      <c r="M20" s="111"/>
      <c r="N20" s="112"/>
      <c r="O20" s="235"/>
      <c r="P20" s="68"/>
      <c r="R20" t="str">
        <f t="shared" si="4"/>
        <v>321</v>
      </c>
      <c r="S20" t="str">
        <f t="shared" si="5"/>
        <v>32</v>
      </c>
      <c r="T20" t="str">
        <f t="shared" si="6"/>
        <v>94</v>
      </c>
      <c r="U20" s="120">
        <v>581</v>
      </c>
      <c r="V20" s="121" t="s">
        <v>525</v>
      </c>
      <c r="X20">
        <v>3226</v>
      </c>
      <c r="Y20" t="s">
        <v>700</v>
      </c>
      <c r="AA20" t="str">
        <f t="shared" si="7"/>
        <v>32</v>
      </c>
      <c r="AB20" t="str">
        <f t="shared" si="8"/>
        <v>322</v>
      </c>
      <c r="AD20" t="s">
        <v>1431</v>
      </c>
      <c r="AE20" t="s">
        <v>1432</v>
      </c>
      <c r="AF20" t="str">
        <f t="shared" si="9"/>
        <v>K818050</v>
      </c>
      <c r="AG20" t="str">
        <f>VLOOKUP(AF20,AKT!$C$4:$E$324,3,FALSE)</f>
        <v>0950</v>
      </c>
    </row>
    <row r="21" spans="1:33">
      <c r="A21" s="69">
        <v>51</v>
      </c>
      <c r="B21" s="64" t="str">
        <f t="shared" si="0"/>
        <v>Pomoći EU</v>
      </c>
      <c r="C21" s="69">
        <v>3237</v>
      </c>
      <c r="D21" s="64" t="str">
        <f t="shared" si="1"/>
        <v>Intelektualne i osobne usluge</v>
      </c>
      <c r="E21" s="102" t="s">
        <v>1423</v>
      </c>
      <c r="F21" s="64" t="str">
        <f t="shared" si="2"/>
        <v>Projekt: Stvaranje mehanizama za kontinuiranu provedba sportskog kluba za zdravlje u Europskoj uniji</v>
      </c>
      <c r="G21" s="64" t="str">
        <f t="shared" si="3"/>
        <v>0942</v>
      </c>
      <c r="H21" s="101">
        <v>458</v>
      </c>
      <c r="I21" s="101"/>
      <c r="J21" s="101"/>
      <c r="K21" s="112"/>
      <c r="L21" s="111"/>
      <c r="M21" s="111"/>
      <c r="N21" s="112"/>
      <c r="O21" s="235"/>
      <c r="P21" s="68"/>
      <c r="R21" t="str">
        <f t="shared" si="4"/>
        <v>323</v>
      </c>
      <c r="S21" t="str">
        <f t="shared" si="5"/>
        <v>32</v>
      </c>
      <c r="T21" t="str">
        <f t="shared" si="6"/>
        <v>94</v>
      </c>
      <c r="U21">
        <v>61</v>
      </c>
      <c r="V21" t="s">
        <v>527</v>
      </c>
      <c r="X21">
        <v>3227</v>
      </c>
      <c r="Y21" t="s">
        <v>704</v>
      </c>
      <c r="AA21" t="str">
        <f t="shared" si="7"/>
        <v>32</v>
      </c>
      <c r="AB21" t="str">
        <f t="shared" si="8"/>
        <v>322</v>
      </c>
      <c r="AD21" t="s">
        <v>1433</v>
      </c>
      <c r="AE21" t="s">
        <v>1434</v>
      </c>
      <c r="AF21" t="str">
        <f t="shared" si="9"/>
        <v>K818050</v>
      </c>
      <c r="AG21" t="str">
        <f>VLOOKUP(AF21,AKT!$C$4:$E$324,3,FALSE)</f>
        <v>0950</v>
      </c>
    </row>
    <row r="22" spans="1:33">
      <c r="A22" s="69">
        <v>51</v>
      </c>
      <c r="B22" s="64" t="str">
        <f t="shared" si="0"/>
        <v>Pomoći EU</v>
      </c>
      <c r="C22" s="69">
        <v>3239</v>
      </c>
      <c r="D22" s="64" t="str">
        <f t="shared" si="1"/>
        <v>Ostale usluge</v>
      </c>
      <c r="E22" s="102" t="s">
        <v>1423</v>
      </c>
      <c r="F22" s="64" t="str">
        <f t="shared" si="2"/>
        <v>Projekt: Stvaranje mehanizama za kontinuiranu provedba sportskog kluba za zdravlje u Europskoj uniji</v>
      </c>
      <c r="G22" s="64" t="str">
        <f t="shared" si="3"/>
        <v>0942</v>
      </c>
      <c r="H22" s="101">
        <v>33</v>
      </c>
      <c r="I22" s="101"/>
      <c r="J22" s="101"/>
      <c r="K22" s="112"/>
      <c r="L22" s="111"/>
      <c r="M22" s="111"/>
      <c r="N22" s="112"/>
      <c r="O22" s="235"/>
      <c r="P22" s="68"/>
      <c r="R22" t="str">
        <f t="shared" si="4"/>
        <v>323</v>
      </c>
      <c r="S22" t="str">
        <f t="shared" si="5"/>
        <v>32</v>
      </c>
      <c r="T22" t="str">
        <f t="shared" si="6"/>
        <v>94</v>
      </c>
      <c r="U22">
        <v>71</v>
      </c>
      <c r="V22" t="s">
        <v>531</v>
      </c>
      <c r="X22">
        <v>3231</v>
      </c>
      <c r="Y22" t="s">
        <v>707</v>
      </c>
      <c r="AA22" t="str">
        <f t="shared" si="7"/>
        <v>32</v>
      </c>
      <c r="AB22" t="str">
        <f t="shared" si="8"/>
        <v>323</v>
      </c>
      <c r="AD22" t="s">
        <v>1435</v>
      </c>
      <c r="AE22" t="s">
        <v>1436</v>
      </c>
      <c r="AF22" t="str">
        <f t="shared" si="9"/>
        <v>K818050</v>
      </c>
      <c r="AG22" t="str">
        <f>VLOOKUP(AF22,AKT!$C$4:$E$324,3,FALSE)</f>
        <v>0950</v>
      </c>
    </row>
    <row r="23" spans="1:33">
      <c r="A23" s="69">
        <v>51</v>
      </c>
      <c r="B23" s="64" t="str">
        <f t="shared" si="0"/>
        <v>Pomoći EU</v>
      </c>
      <c r="C23" s="69">
        <v>3293</v>
      </c>
      <c r="D23" s="64" t="str">
        <f t="shared" si="1"/>
        <v>Reprezentacija</v>
      </c>
      <c r="E23" s="102" t="s">
        <v>1423</v>
      </c>
      <c r="F23" s="64" t="str">
        <f t="shared" si="2"/>
        <v>Projekt: Stvaranje mehanizama za kontinuiranu provedba sportskog kluba za zdravlje u Europskoj uniji</v>
      </c>
      <c r="G23" s="64" t="str">
        <f t="shared" si="3"/>
        <v>0942</v>
      </c>
      <c r="H23" s="101">
        <v>381</v>
      </c>
      <c r="I23" s="101"/>
      <c r="J23" s="101"/>
      <c r="K23" s="112"/>
      <c r="L23" s="111"/>
      <c r="M23" s="111"/>
      <c r="N23" s="112"/>
      <c r="O23" s="235"/>
      <c r="P23" s="68"/>
      <c r="R23" t="str">
        <f t="shared" si="4"/>
        <v>329</v>
      </c>
      <c r="S23" t="str">
        <f t="shared" si="5"/>
        <v>32</v>
      </c>
      <c r="T23" t="str">
        <f t="shared" si="6"/>
        <v>94</v>
      </c>
      <c r="U23">
        <v>81</v>
      </c>
      <c r="V23" t="s">
        <v>534</v>
      </c>
      <c r="X23">
        <v>3232</v>
      </c>
      <c r="Y23" t="s">
        <v>710</v>
      </c>
      <c r="AA23" t="str">
        <f t="shared" si="7"/>
        <v>32</v>
      </c>
      <c r="AB23" t="str">
        <f t="shared" si="8"/>
        <v>323</v>
      </c>
      <c r="AD23" t="s">
        <v>1437</v>
      </c>
      <c r="AE23" t="s">
        <v>1438</v>
      </c>
      <c r="AF23" t="str">
        <f t="shared" si="9"/>
        <v>K818050</v>
      </c>
      <c r="AG23" t="str">
        <f>VLOOKUP(AF23,AKT!$C$4:$E$324,3,FALSE)</f>
        <v>0950</v>
      </c>
    </row>
    <row r="24" spans="1:33">
      <c r="A24" s="69">
        <v>51</v>
      </c>
      <c r="B24" s="64" t="str">
        <f t="shared" si="0"/>
        <v>Pomoći EU</v>
      </c>
      <c r="C24" s="69">
        <v>4221</v>
      </c>
      <c r="D24" s="64" t="str">
        <f t="shared" si="1"/>
        <v>Uredska oprema i namještaj</v>
      </c>
      <c r="E24" s="102" t="s">
        <v>1423</v>
      </c>
      <c r="F24" s="64" t="str">
        <f t="shared" si="2"/>
        <v>Projekt: Stvaranje mehanizama za kontinuiranu provedba sportskog kluba za zdravlje u Europskoj uniji</v>
      </c>
      <c r="G24" s="64" t="str">
        <f t="shared" si="3"/>
        <v>0942</v>
      </c>
      <c r="H24" s="101">
        <v>2006</v>
      </c>
      <c r="I24" s="101"/>
      <c r="J24" s="101"/>
      <c r="K24" s="112"/>
      <c r="L24" s="111"/>
      <c r="M24" s="111"/>
      <c r="N24" s="112"/>
      <c r="O24" s="235"/>
      <c r="P24" s="68"/>
      <c r="R24" t="str">
        <f t="shared" si="4"/>
        <v>422</v>
      </c>
      <c r="S24" t="str">
        <f t="shared" si="5"/>
        <v>42</v>
      </c>
      <c r="T24" t="str">
        <f t="shared" si="6"/>
        <v>94</v>
      </c>
      <c r="U24" s="145">
        <v>83</v>
      </c>
      <c r="V24" s="145" t="s">
        <v>1439</v>
      </c>
      <c r="X24">
        <v>3233</v>
      </c>
      <c r="Y24" t="s">
        <v>713</v>
      </c>
      <c r="AA24" t="str">
        <f t="shared" si="7"/>
        <v>32</v>
      </c>
      <c r="AB24" t="str">
        <f t="shared" si="8"/>
        <v>323</v>
      </c>
      <c r="AD24" t="s">
        <v>1440</v>
      </c>
      <c r="AE24" t="s">
        <v>1441</v>
      </c>
      <c r="AF24" t="str">
        <f t="shared" si="9"/>
        <v>K818050</v>
      </c>
      <c r="AG24" t="str">
        <f>VLOOKUP(AF24,AKT!$C$4:$E$324,3,FALSE)</f>
        <v>0950</v>
      </c>
    </row>
    <row r="25" spans="1:33">
      <c r="A25" s="69">
        <v>51</v>
      </c>
      <c r="B25" s="64" t="str">
        <f t="shared" si="0"/>
        <v>Pomoći EU</v>
      </c>
      <c r="C25" s="69">
        <v>3211</v>
      </c>
      <c r="D25" s="64" t="str">
        <f t="shared" si="1"/>
        <v>Službena putovanja</v>
      </c>
      <c r="E25" s="102" t="s">
        <v>1442</v>
      </c>
      <c r="F25" s="64" t="str">
        <f t="shared" si="2"/>
        <v>ERASMUS + Projekt: SC4H Network</v>
      </c>
      <c r="G25" s="64" t="str">
        <f t="shared" si="3"/>
        <v>0942</v>
      </c>
      <c r="H25" s="101">
        <v>471</v>
      </c>
      <c r="I25" s="101"/>
      <c r="J25" s="101"/>
      <c r="K25" s="112"/>
      <c r="L25" s="111"/>
      <c r="M25" s="111"/>
      <c r="N25" s="112"/>
      <c r="O25" s="235"/>
      <c r="P25" s="68"/>
      <c r="R25" t="str">
        <f t="shared" si="4"/>
        <v>321</v>
      </c>
      <c r="S25" t="str">
        <f t="shared" si="5"/>
        <v>32</v>
      </c>
      <c r="T25" t="str">
        <f t="shared" si="6"/>
        <v>94</v>
      </c>
      <c r="X25">
        <v>3234</v>
      </c>
      <c r="Y25" t="s">
        <v>718</v>
      </c>
      <c r="AA25" t="str">
        <f t="shared" si="7"/>
        <v>32</v>
      </c>
      <c r="AB25" t="str">
        <f t="shared" si="8"/>
        <v>323</v>
      </c>
      <c r="AD25" t="s">
        <v>1443</v>
      </c>
      <c r="AE25" t="s">
        <v>1444</v>
      </c>
      <c r="AF25" t="str">
        <f t="shared" si="9"/>
        <v>K818050</v>
      </c>
      <c r="AG25" t="str">
        <f>VLOOKUP(AF25,AKT!$C$4:$E$324,3,FALSE)</f>
        <v>0950</v>
      </c>
    </row>
    <row r="26" spans="1:33">
      <c r="A26" s="69">
        <v>51</v>
      </c>
      <c r="B26" s="64" t="str">
        <f t="shared" si="0"/>
        <v>Pomoći EU</v>
      </c>
      <c r="C26" s="69">
        <v>3211</v>
      </c>
      <c r="D26" s="64" t="str">
        <f t="shared" si="1"/>
        <v>Službena putovanja</v>
      </c>
      <c r="E26" s="102" t="s">
        <v>1445</v>
      </c>
      <c r="F26" s="64" t="str">
        <f t="shared" si="2"/>
        <v>ERASMUS+projekt Sky Easy</v>
      </c>
      <c r="G26" s="64" t="str">
        <f t="shared" si="3"/>
        <v>0942</v>
      </c>
      <c r="H26" s="101">
        <f>136+759+529</f>
        <v>1424</v>
      </c>
      <c r="I26" s="101">
        <v>2231</v>
      </c>
      <c r="J26" s="101">
        <f>599+1207+1075+18</f>
        <v>2899</v>
      </c>
      <c r="K26" s="112"/>
      <c r="L26" s="111"/>
      <c r="M26" s="111"/>
      <c r="N26" s="112"/>
      <c r="O26" s="235"/>
      <c r="P26" s="68"/>
      <c r="R26" t="str">
        <f t="shared" si="4"/>
        <v>321</v>
      </c>
      <c r="S26" t="str">
        <f t="shared" si="5"/>
        <v>32</v>
      </c>
      <c r="T26" t="str">
        <f t="shared" si="6"/>
        <v>94</v>
      </c>
      <c r="X26">
        <v>3235</v>
      </c>
      <c r="Y26" t="s">
        <v>721</v>
      </c>
      <c r="AA26" t="str">
        <f t="shared" si="7"/>
        <v>32</v>
      </c>
      <c r="AB26" t="str">
        <f t="shared" si="8"/>
        <v>323</v>
      </c>
      <c r="AD26" t="s">
        <v>1446</v>
      </c>
      <c r="AE26" t="s">
        <v>1447</v>
      </c>
      <c r="AF26" t="str">
        <f t="shared" si="9"/>
        <v>K818050</v>
      </c>
      <c r="AG26" t="str">
        <f>VLOOKUP(AF26,AKT!$C$4:$E$324,3,FALSE)</f>
        <v>0950</v>
      </c>
    </row>
    <row r="27" spans="1:33">
      <c r="A27" s="69">
        <v>51</v>
      </c>
      <c r="B27" s="64" t="str">
        <f t="shared" si="0"/>
        <v>Pomoći EU</v>
      </c>
      <c r="C27" s="69">
        <v>3213</v>
      </c>
      <c r="D27" s="64" t="str">
        <f t="shared" si="1"/>
        <v>Stručno usavršavanje zaposlenika</v>
      </c>
      <c r="E27" s="102" t="s">
        <v>1445</v>
      </c>
      <c r="F27" s="64" t="str">
        <f t="shared" si="2"/>
        <v>ERASMUS+projekt Sky Easy</v>
      </c>
      <c r="G27" s="64" t="str">
        <f t="shared" si="3"/>
        <v>0942</v>
      </c>
      <c r="H27" s="101">
        <v>2304</v>
      </c>
      <c r="I27" s="101"/>
      <c r="J27" s="101">
        <v>725</v>
      </c>
      <c r="K27" s="112"/>
      <c r="L27" s="111"/>
      <c r="M27" s="111"/>
      <c r="N27" s="112"/>
      <c r="O27" s="235"/>
      <c r="P27" s="68"/>
      <c r="R27" t="str">
        <f t="shared" si="4"/>
        <v>321</v>
      </c>
      <c r="S27" t="str">
        <f t="shared" si="5"/>
        <v>32</v>
      </c>
      <c r="T27" t="str">
        <f t="shared" si="6"/>
        <v>94</v>
      </c>
      <c r="X27">
        <v>3236</v>
      </c>
      <c r="Y27" t="s">
        <v>724</v>
      </c>
      <c r="AA27" t="str">
        <f t="shared" si="7"/>
        <v>32</v>
      </c>
      <c r="AB27" t="str">
        <f t="shared" si="8"/>
        <v>323</v>
      </c>
      <c r="AD27" t="s">
        <v>1448</v>
      </c>
      <c r="AE27" t="s">
        <v>1449</v>
      </c>
      <c r="AF27" t="str">
        <f t="shared" si="9"/>
        <v>K818050</v>
      </c>
      <c r="AG27" t="str">
        <f>VLOOKUP(AF27,AKT!$C$4:$E$324,3,FALSE)</f>
        <v>0950</v>
      </c>
    </row>
    <row r="28" spans="1:33">
      <c r="A28" s="69">
        <v>51</v>
      </c>
      <c r="B28" s="64" t="str">
        <f t="shared" si="0"/>
        <v>Pomoći EU</v>
      </c>
      <c r="C28" s="69">
        <v>3239</v>
      </c>
      <c r="D28" s="64" t="str">
        <f t="shared" si="1"/>
        <v>Ostale usluge</v>
      </c>
      <c r="E28" s="102" t="s">
        <v>1445</v>
      </c>
      <c r="F28" s="64" t="str">
        <f t="shared" si="2"/>
        <v>ERASMUS+projekt Sky Easy</v>
      </c>
      <c r="G28" s="64" t="str">
        <f t="shared" si="3"/>
        <v>0942</v>
      </c>
      <c r="H28" s="101">
        <v>164</v>
      </c>
      <c r="I28" s="101"/>
      <c r="J28" s="101">
        <f>40+394</f>
        <v>434</v>
      </c>
      <c r="K28" s="112"/>
      <c r="L28" s="111"/>
      <c r="M28" s="111"/>
      <c r="N28" s="112"/>
      <c r="O28" s="235"/>
      <c r="P28" s="68"/>
      <c r="R28" t="str">
        <f t="shared" si="4"/>
        <v>323</v>
      </c>
      <c r="S28" t="str">
        <f t="shared" si="5"/>
        <v>32</v>
      </c>
      <c r="T28" t="str">
        <f t="shared" si="6"/>
        <v>94</v>
      </c>
      <c r="X28">
        <v>3237</v>
      </c>
      <c r="Y28" t="s">
        <v>727</v>
      </c>
      <c r="AA28" t="str">
        <f t="shared" si="7"/>
        <v>32</v>
      </c>
      <c r="AB28" t="str">
        <f t="shared" si="8"/>
        <v>323</v>
      </c>
      <c r="AD28" t="s">
        <v>1450</v>
      </c>
      <c r="AE28" t="s">
        <v>1451</v>
      </c>
      <c r="AF28" t="str">
        <f t="shared" si="9"/>
        <v>K818050</v>
      </c>
      <c r="AG28" t="str">
        <f>VLOOKUP(AF28,AKT!$C$4:$E$324,3,FALSE)</f>
        <v>0950</v>
      </c>
    </row>
    <row r="29" spans="1:33">
      <c r="A29" s="69">
        <v>51</v>
      </c>
      <c r="B29" s="64" t="str">
        <f t="shared" si="0"/>
        <v>Pomoći EU</v>
      </c>
      <c r="C29" s="69">
        <v>3241</v>
      </c>
      <c r="D29" s="64" t="str">
        <f t="shared" si="1"/>
        <v>Naknade troškova osobama izvan radnog odnosa</v>
      </c>
      <c r="E29" s="102" t="s">
        <v>1445</v>
      </c>
      <c r="F29" s="64" t="str">
        <f t="shared" si="2"/>
        <v>ERASMUS+projekt Sky Easy</v>
      </c>
      <c r="G29" s="64" t="str">
        <f t="shared" si="3"/>
        <v>0942</v>
      </c>
      <c r="H29" s="101">
        <v>48</v>
      </c>
      <c r="I29" s="101"/>
      <c r="J29" s="101">
        <v>1126</v>
      </c>
      <c r="K29" s="112"/>
      <c r="L29" s="111"/>
      <c r="M29" s="111"/>
      <c r="N29" s="112"/>
      <c r="O29" s="235"/>
      <c r="P29" s="68"/>
      <c r="R29" t="str">
        <f t="shared" si="4"/>
        <v>324</v>
      </c>
      <c r="S29" t="str">
        <f t="shared" si="5"/>
        <v>32</v>
      </c>
      <c r="T29" t="str">
        <f t="shared" si="6"/>
        <v>94</v>
      </c>
      <c r="X29">
        <v>3238</v>
      </c>
      <c r="Y29" t="s">
        <v>730</v>
      </c>
      <c r="AA29" t="str">
        <f t="shared" si="7"/>
        <v>32</v>
      </c>
      <c r="AB29" t="str">
        <f t="shared" si="8"/>
        <v>323</v>
      </c>
      <c r="AD29" t="s">
        <v>1452</v>
      </c>
      <c r="AE29" t="s">
        <v>1453</v>
      </c>
      <c r="AF29" t="str">
        <f t="shared" si="9"/>
        <v>K818050</v>
      </c>
      <c r="AG29" t="str">
        <f>VLOOKUP(AF29,AKT!$C$4:$E$324,3,FALSE)</f>
        <v>0950</v>
      </c>
    </row>
    <row r="30" spans="1:33">
      <c r="A30" s="69">
        <v>51</v>
      </c>
      <c r="B30" s="64" t="str">
        <f t="shared" si="0"/>
        <v>Pomoći EU</v>
      </c>
      <c r="C30" s="69">
        <v>3432</v>
      </c>
      <c r="D30" s="64" t="str">
        <f t="shared" si="1"/>
        <v>Negativne tečajne razlike i razlike zbog primjene valutne kl</v>
      </c>
      <c r="E30" s="102" t="s">
        <v>1445</v>
      </c>
      <c r="F30" s="64" t="str">
        <f t="shared" si="2"/>
        <v>ERASMUS+projekt Sky Easy</v>
      </c>
      <c r="G30" s="64" t="str">
        <f t="shared" si="3"/>
        <v>0942</v>
      </c>
      <c r="H30" s="101">
        <v>14</v>
      </c>
      <c r="I30" s="101"/>
      <c r="J30" s="101"/>
      <c r="K30" s="112"/>
      <c r="L30" s="111"/>
      <c r="M30" s="111"/>
      <c r="N30" s="112"/>
      <c r="O30" s="235"/>
      <c r="P30" s="68"/>
      <c r="R30" t="str">
        <f t="shared" si="4"/>
        <v>343</v>
      </c>
      <c r="S30" t="str">
        <f t="shared" si="5"/>
        <v>34</v>
      </c>
      <c r="T30" t="str">
        <f t="shared" si="6"/>
        <v>94</v>
      </c>
      <c r="X30">
        <v>3239</v>
      </c>
      <c r="Y30" t="s">
        <v>733</v>
      </c>
      <c r="AA30" t="str">
        <f t="shared" si="7"/>
        <v>32</v>
      </c>
      <c r="AB30" t="str">
        <f t="shared" si="8"/>
        <v>323</v>
      </c>
      <c r="AD30" t="s">
        <v>1454</v>
      </c>
      <c r="AE30" t="s">
        <v>1455</v>
      </c>
      <c r="AF30" t="str">
        <f t="shared" si="9"/>
        <v>K818050</v>
      </c>
      <c r="AG30" t="str">
        <f>VLOOKUP(AF30,AKT!$C$4:$E$324,3,FALSE)</f>
        <v>0950</v>
      </c>
    </row>
    <row r="31" spans="1:33">
      <c r="A31" s="69">
        <v>51</v>
      </c>
      <c r="B31" s="64" t="str">
        <f t="shared" si="0"/>
        <v>Pomoći EU</v>
      </c>
      <c r="C31" s="69">
        <v>3221</v>
      </c>
      <c r="D31" s="64" t="str">
        <f t="shared" si="1"/>
        <v>Uredski materijal i ostali materijalni rashodi</v>
      </c>
      <c r="E31" s="102" t="s">
        <v>1456</v>
      </c>
      <c r="F31" s="64" t="str">
        <f t="shared" si="2"/>
        <v>ERASMUS+projekt Fit Old</v>
      </c>
      <c r="G31" s="64" t="str">
        <f t="shared" si="3"/>
        <v>0942</v>
      </c>
      <c r="H31" s="101">
        <v>17</v>
      </c>
      <c r="I31" s="101"/>
      <c r="J31" s="101">
        <v>13</v>
      </c>
      <c r="K31" s="112"/>
      <c r="L31" s="111"/>
      <c r="M31" s="111"/>
      <c r="N31" s="112"/>
      <c r="O31" s="235"/>
      <c r="P31" s="68"/>
      <c r="R31" t="str">
        <f t="shared" si="4"/>
        <v>322</v>
      </c>
      <c r="S31" t="str">
        <f t="shared" si="5"/>
        <v>32</v>
      </c>
      <c r="T31" t="str">
        <f t="shared" si="6"/>
        <v>94</v>
      </c>
      <c r="X31">
        <v>3241</v>
      </c>
      <c r="Y31" t="s">
        <v>736</v>
      </c>
      <c r="AA31" t="str">
        <f t="shared" si="7"/>
        <v>32</v>
      </c>
      <c r="AB31" t="str">
        <f t="shared" si="8"/>
        <v>324</v>
      </c>
      <c r="AD31" t="s">
        <v>1457</v>
      </c>
      <c r="AE31" t="s">
        <v>1458</v>
      </c>
      <c r="AF31" t="str">
        <f t="shared" si="9"/>
        <v>K818050</v>
      </c>
      <c r="AG31" t="str">
        <f>VLOOKUP(AF31,AKT!$C$4:$E$324,3,FALSE)</f>
        <v>0950</v>
      </c>
    </row>
    <row r="32" spans="1:33">
      <c r="A32" s="69">
        <v>51</v>
      </c>
      <c r="B32" s="64" t="str">
        <f t="shared" si="0"/>
        <v>Pomoći EU</v>
      </c>
      <c r="C32" s="69">
        <v>3237</v>
      </c>
      <c r="D32" s="64" t="str">
        <f t="shared" si="1"/>
        <v>Intelektualne i osobne usluge</v>
      </c>
      <c r="E32" s="102" t="s">
        <v>1456</v>
      </c>
      <c r="F32" s="64" t="str">
        <f t="shared" si="2"/>
        <v>ERASMUS+projekt Fit Old</v>
      </c>
      <c r="G32" s="64" t="str">
        <f t="shared" si="3"/>
        <v>0942</v>
      </c>
      <c r="H32" s="101">
        <f>617+191+90+67</f>
        <v>965</v>
      </c>
      <c r="I32" s="101">
        <v>398</v>
      </c>
      <c r="J32" s="101">
        <v>83</v>
      </c>
      <c r="K32" s="112"/>
      <c r="L32" s="111"/>
      <c r="M32" s="111"/>
      <c r="N32" s="112"/>
      <c r="O32" s="235"/>
      <c r="P32" s="68"/>
      <c r="R32" t="str">
        <f t="shared" si="4"/>
        <v>323</v>
      </c>
      <c r="S32" t="str">
        <f t="shared" si="5"/>
        <v>32</v>
      </c>
      <c r="T32" t="str">
        <f t="shared" si="6"/>
        <v>94</v>
      </c>
      <c r="X32">
        <v>3291</v>
      </c>
      <c r="Y32" t="s">
        <v>739</v>
      </c>
      <c r="AA32" t="str">
        <f t="shared" si="7"/>
        <v>32</v>
      </c>
      <c r="AB32" t="str">
        <f t="shared" si="8"/>
        <v>329</v>
      </c>
      <c r="AD32" t="s">
        <v>1459</v>
      </c>
      <c r="AE32" t="s">
        <v>1460</v>
      </c>
      <c r="AF32" t="str">
        <f t="shared" si="9"/>
        <v>K818050</v>
      </c>
      <c r="AG32" t="str">
        <f>VLOOKUP(AF32,AKT!$C$4:$E$324,3,FALSE)</f>
        <v>0950</v>
      </c>
    </row>
    <row r="33" spans="1:33">
      <c r="A33" s="69">
        <v>51</v>
      </c>
      <c r="B33" s="64" t="str">
        <f t="shared" si="0"/>
        <v>Pomoći EU</v>
      </c>
      <c r="C33" s="69">
        <v>3239</v>
      </c>
      <c r="D33" s="64" t="str">
        <f t="shared" si="1"/>
        <v>Ostale usluge</v>
      </c>
      <c r="E33" s="102" t="s">
        <v>1456</v>
      </c>
      <c r="F33" s="64" t="str">
        <f t="shared" si="2"/>
        <v>ERASMUS+projekt Fit Old</v>
      </c>
      <c r="G33" s="64" t="str">
        <f t="shared" si="3"/>
        <v>0942</v>
      </c>
      <c r="H33" s="101">
        <v>11</v>
      </c>
      <c r="I33" s="101">
        <v>4262</v>
      </c>
      <c r="J33" s="101">
        <v>9</v>
      </c>
      <c r="K33" s="112"/>
      <c r="L33" s="111"/>
      <c r="M33" s="111"/>
      <c r="N33" s="112"/>
      <c r="O33" s="235"/>
      <c r="P33" s="68"/>
      <c r="R33" t="str">
        <f t="shared" si="4"/>
        <v>323</v>
      </c>
      <c r="S33" t="str">
        <f t="shared" si="5"/>
        <v>32</v>
      </c>
      <c r="T33" t="str">
        <f t="shared" si="6"/>
        <v>94</v>
      </c>
      <c r="X33">
        <v>3292</v>
      </c>
      <c r="Y33" t="s">
        <v>742</v>
      </c>
      <c r="AA33" t="str">
        <f t="shared" si="7"/>
        <v>32</v>
      </c>
      <c r="AB33" t="str">
        <f t="shared" si="8"/>
        <v>329</v>
      </c>
      <c r="AD33" t="s">
        <v>1461</v>
      </c>
      <c r="AE33" t="s">
        <v>1462</v>
      </c>
      <c r="AF33" t="str">
        <f t="shared" si="9"/>
        <v>K818050</v>
      </c>
      <c r="AG33" t="str">
        <f>VLOOKUP(AF33,AKT!$C$4:$E$324,3,FALSE)</f>
        <v>0950</v>
      </c>
    </row>
    <row r="34" spans="1:33">
      <c r="A34" s="69">
        <v>51</v>
      </c>
      <c r="B34" s="64" t="str">
        <f t="shared" si="0"/>
        <v>Pomoći EU</v>
      </c>
      <c r="C34" s="69">
        <v>3211</v>
      </c>
      <c r="D34" s="64" t="str">
        <f t="shared" si="1"/>
        <v>Službena putovanja</v>
      </c>
      <c r="E34" s="102" t="s">
        <v>1399</v>
      </c>
      <c r="F34" s="64" t="s">
        <v>1463</v>
      </c>
      <c r="G34" s="64" t="str">
        <f t="shared" si="3"/>
        <v>NOVI PODPROJEKT</v>
      </c>
      <c r="H34" s="101">
        <f>300+217+355</f>
        <v>872</v>
      </c>
      <c r="I34" s="101"/>
      <c r="J34" s="101">
        <v>847</v>
      </c>
      <c r="K34" s="112"/>
      <c r="L34" s="111"/>
      <c r="M34" s="111"/>
      <c r="N34" s="112"/>
      <c r="O34" s="235"/>
      <c r="P34" s="68"/>
      <c r="R34" t="str">
        <f t="shared" si="4"/>
        <v>321</v>
      </c>
      <c r="S34" t="str">
        <f t="shared" si="5"/>
        <v>32</v>
      </c>
      <c r="T34" t="str">
        <f t="shared" si="6"/>
        <v>OV</v>
      </c>
      <c r="X34">
        <v>3293</v>
      </c>
      <c r="Y34" t="s">
        <v>745</v>
      </c>
      <c r="AA34" t="str">
        <f t="shared" si="7"/>
        <v>32</v>
      </c>
      <c r="AB34" t="str">
        <f t="shared" si="8"/>
        <v>329</v>
      </c>
      <c r="AD34" t="s">
        <v>1464</v>
      </c>
      <c r="AE34" t="s">
        <v>1465</v>
      </c>
      <c r="AF34" t="str">
        <f t="shared" si="9"/>
        <v>K818050</v>
      </c>
      <c r="AG34" t="str">
        <f>VLOOKUP(AF34,AKT!$C$4:$E$324,3,FALSE)</f>
        <v>0950</v>
      </c>
    </row>
    <row r="35" spans="1:33">
      <c r="A35" s="69">
        <v>51</v>
      </c>
      <c r="B35" s="64" t="str">
        <f t="shared" si="0"/>
        <v>Pomoći EU</v>
      </c>
      <c r="C35" s="69">
        <v>3691</v>
      </c>
      <c r="D35" s="64" t="str">
        <f t="shared" si="1"/>
        <v>Tekući prijenosi između proračunskih korisnika istog proraču</v>
      </c>
      <c r="E35" s="102" t="s">
        <v>1399</v>
      </c>
      <c r="F35" s="64" t="s">
        <v>1463</v>
      </c>
      <c r="G35" s="64" t="str">
        <f t="shared" si="3"/>
        <v>NOVI PODPROJEKT</v>
      </c>
      <c r="H35" s="101">
        <v>72</v>
      </c>
      <c r="I35" s="101"/>
      <c r="J35" s="101"/>
      <c r="K35" s="112"/>
      <c r="L35" s="111"/>
      <c r="M35" s="111"/>
      <c r="N35" s="112"/>
      <c r="O35" s="235"/>
      <c r="P35" s="68"/>
      <c r="R35" t="str">
        <f t="shared" si="4"/>
        <v>369</v>
      </c>
      <c r="S35" t="str">
        <f t="shared" si="5"/>
        <v>36</v>
      </c>
      <c r="T35" t="str">
        <f t="shared" si="6"/>
        <v>OV</v>
      </c>
      <c r="X35">
        <v>3293</v>
      </c>
      <c r="Y35" t="s">
        <v>748</v>
      </c>
      <c r="AA35" t="str">
        <f t="shared" si="7"/>
        <v>32</v>
      </c>
      <c r="AB35" t="str">
        <f t="shared" si="8"/>
        <v>329</v>
      </c>
      <c r="AD35" t="s">
        <v>1466</v>
      </c>
      <c r="AE35" t="s">
        <v>1467</v>
      </c>
      <c r="AF35" t="str">
        <f t="shared" si="9"/>
        <v>K818050</v>
      </c>
      <c r="AG35" t="str">
        <f>VLOOKUP(AF35,AKT!$C$4:$E$324,3,FALSE)</f>
        <v>0950</v>
      </c>
    </row>
    <row r="36" spans="1:33" hidden="1">
      <c r="A36" s="69">
        <v>43</v>
      </c>
      <c r="B36" s="64" t="str">
        <f t="shared" si="0"/>
        <v>Ostali prihodi za posebne namjene</v>
      </c>
      <c r="C36" s="69">
        <v>3233</v>
      </c>
      <c r="D36" s="64" t="str">
        <f t="shared" si="1"/>
        <v>Usluge promidžbe i informiranja</v>
      </c>
      <c r="E36" s="102" t="s">
        <v>1398</v>
      </c>
      <c r="F36" s="64" t="str">
        <f>IFERROR(VLOOKUP(E36,$AD$6:$AE$1085,2,FALSE),"")</f>
        <v>CEKOM Centar kompetencija u molekularnoj dijagnostici</v>
      </c>
      <c r="G36" s="64" t="str">
        <f t="shared" si="3"/>
        <v>0942</v>
      </c>
      <c r="H36" s="101"/>
      <c r="I36" s="101"/>
      <c r="J36" s="101">
        <v>2217</v>
      </c>
      <c r="K36" s="112"/>
      <c r="L36" s="111"/>
      <c r="M36" s="111"/>
      <c r="N36" s="112"/>
      <c r="O36" s="235"/>
      <c r="P36" s="68"/>
      <c r="R36" t="str">
        <f t="shared" si="4"/>
        <v>323</v>
      </c>
      <c r="S36" t="str">
        <f t="shared" si="5"/>
        <v>32</v>
      </c>
      <c r="T36" t="str">
        <f t="shared" si="6"/>
        <v>94</v>
      </c>
      <c r="X36">
        <v>3411</v>
      </c>
      <c r="Y36" t="s">
        <v>764</v>
      </c>
      <c r="AA36" t="str">
        <f t="shared" si="7"/>
        <v>34</v>
      </c>
      <c r="AB36" t="str">
        <f t="shared" si="8"/>
        <v>341</v>
      </c>
      <c r="AD36" t="s">
        <v>1468</v>
      </c>
      <c r="AE36" t="s">
        <v>1469</v>
      </c>
      <c r="AF36" t="str">
        <f t="shared" si="9"/>
        <v>A679071</v>
      </c>
      <c r="AG36" t="str">
        <f>VLOOKUP(AF36,AKT!$C$4:$E$324,3,FALSE)</f>
        <v>0942</v>
      </c>
    </row>
    <row r="37" spans="1:33">
      <c r="A37" s="69">
        <v>51</v>
      </c>
      <c r="B37" s="64" t="str">
        <f t="shared" si="0"/>
        <v>Pomoći EU</v>
      </c>
      <c r="C37" s="69">
        <v>3239</v>
      </c>
      <c r="D37" s="64" t="str">
        <f t="shared" si="1"/>
        <v>Ostale usluge</v>
      </c>
      <c r="E37" s="102" t="s">
        <v>1410</v>
      </c>
      <c r="F37" s="64" t="str">
        <f>IFERROR(VLOOKUP(E37,$AD$6:$AE$1085,2,FALSE),"")</f>
        <v>WE-CARE Projekt: Uspostavljanjem nacionalne skrbi i razvojnim centrima podržavamo elitne sportaše u uravnoteženju rezultata sporta i obrazovanja / zapošljavanja</v>
      </c>
      <c r="G37" s="64" t="str">
        <f t="shared" si="3"/>
        <v>0942</v>
      </c>
      <c r="H37" s="101"/>
      <c r="I37" s="101"/>
      <c r="J37" s="101">
        <f>1500+204-1293</f>
        <v>411</v>
      </c>
      <c r="K37" s="112"/>
      <c r="L37" s="111"/>
      <c r="M37" s="111"/>
      <c r="N37" s="112"/>
      <c r="O37" s="235"/>
      <c r="P37" s="68"/>
      <c r="R37" t="str">
        <f t="shared" si="4"/>
        <v>323</v>
      </c>
      <c r="S37" t="str">
        <f t="shared" si="5"/>
        <v>32</v>
      </c>
      <c r="T37" t="str">
        <f t="shared" si="6"/>
        <v>94</v>
      </c>
      <c r="X37">
        <v>3422</v>
      </c>
      <c r="Y37" t="s">
        <v>767</v>
      </c>
      <c r="AA37" t="str">
        <f t="shared" si="7"/>
        <v>34</v>
      </c>
      <c r="AB37" t="str">
        <f t="shared" si="8"/>
        <v>342</v>
      </c>
      <c r="AD37" t="s">
        <v>1470</v>
      </c>
      <c r="AE37" t="s">
        <v>1471</v>
      </c>
      <c r="AF37" t="str">
        <f t="shared" si="9"/>
        <v>A679071</v>
      </c>
      <c r="AG37" t="str">
        <f>VLOOKUP(AF37,AKT!$C$4:$E$324,3,FALSE)</f>
        <v>0942</v>
      </c>
    </row>
    <row r="38" spans="1:33">
      <c r="A38" s="69">
        <v>51</v>
      </c>
      <c r="B38" s="64" t="str">
        <f t="shared" si="0"/>
        <v>Pomoći EU</v>
      </c>
      <c r="C38" s="69">
        <v>3431</v>
      </c>
      <c r="D38" s="64" t="str">
        <f t="shared" si="1"/>
        <v>Bankarske usluge i usluge platnog prometa</v>
      </c>
      <c r="E38" s="102" t="s">
        <v>1445</v>
      </c>
      <c r="F38" s="64" t="str">
        <f>IFERROR(VLOOKUP(E38,$AD$6:$AE$1085,2,FALSE),"")</f>
        <v>ERASMUS+projekt Sky Easy</v>
      </c>
      <c r="G38" s="64" t="str">
        <f t="shared" si="3"/>
        <v>0942</v>
      </c>
      <c r="H38" s="101"/>
      <c r="I38" s="101"/>
      <c r="J38" s="101">
        <v>8</v>
      </c>
      <c r="K38" s="112"/>
      <c r="L38" s="111"/>
      <c r="M38" s="111"/>
      <c r="N38" s="112"/>
      <c r="O38" s="235"/>
      <c r="P38" s="68"/>
      <c r="R38" t="str">
        <f t="shared" si="4"/>
        <v>343</v>
      </c>
      <c r="S38" t="str">
        <f t="shared" si="5"/>
        <v>34</v>
      </c>
      <c r="T38" t="str">
        <f t="shared" si="6"/>
        <v>94</v>
      </c>
      <c r="X38">
        <v>3423</v>
      </c>
      <c r="Y38" t="s">
        <v>767</v>
      </c>
      <c r="AA38" t="str">
        <f t="shared" si="7"/>
        <v>34</v>
      </c>
      <c r="AB38" t="str">
        <f t="shared" si="8"/>
        <v>342</v>
      </c>
      <c r="AD38" t="s">
        <v>1472</v>
      </c>
      <c r="AE38" t="s">
        <v>1473</v>
      </c>
      <c r="AF38" t="str">
        <f t="shared" si="9"/>
        <v>A679071</v>
      </c>
      <c r="AG38" t="str">
        <f>VLOOKUP(AF38,AKT!$C$4:$E$324,3,FALSE)</f>
        <v>0942</v>
      </c>
    </row>
    <row r="39" spans="1:33">
      <c r="A39" s="69">
        <v>51</v>
      </c>
      <c r="B39" s="64" t="str">
        <f t="shared" si="0"/>
        <v>Pomoći EU</v>
      </c>
      <c r="C39" s="69">
        <v>3241</v>
      </c>
      <c r="D39" s="64" t="str">
        <f t="shared" si="1"/>
        <v>Naknade troškova osobama izvan radnog odnosa</v>
      </c>
      <c r="E39" s="102" t="s">
        <v>1456</v>
      </c>
      <c r="F39" s="64" t="str">
        <f>IFERROR(VLOOKUP(E39,$AD$6:$AE$1085,2,FALSE),"")</f>
        <v>ERASMUS+projekt Fit Old</v>
      </c>
      <c r="G39" s="64" t="str">
        <f t="shared" si="3"/>
        <v>0942</v>
      </c>
      <c r="H39" s="101"/>
      <c r="I39" s="101"/>
      <c r="J39" s="101">
        <v>1961</v>
      </c>
      <c r="K39" s="112"/>
      <c r="L39" s="111"/>
      <c r="M39" s="111"/>
      <c r="N39" s="112"/>
      <c r="O39" s="235"/>
      <c r="P39" s="68"/>
      <c r="R39" t="str">
        <f t="shared" si="4"/>
        <v>324</v>
      </c>
      <c r="S39" t="str">
        <f t="shared" si="5"/>
        <v>32</v>
      </c>
      <c r="T39" t="str">
        <f t="shared" si="6"/>
        <v>94</v>
      </c>
      <c r="X39">
        <v>3431</v>
      </c>
      <c r="Y39" t="s">
        <v>773</v>
      </c>
      <c r="AA39" t="str">
        <f t="shared" si="7"/>
        <v>34</v>
      </c>
      <c r="AB39" t="str">
        <f t="shared" si="8"/>
        <v>343</v>
      </c>
      <c r="AD39" t="s">
        <v>1474</v>
      </c>
      <c r="AE39" t="s">
        <v>1475</v>
      </c>
      <c r="AF39" t="str">
        <f t="shared" si="9"/>
        <v>A679071</v>
      </c>
      <c r="AG39" t="str">
        <f>VLOOKUP(AF39,AKT!$C$4:$E$324,3,FALSE)</f>
        <v>0942</v>
      </c>
    </row>
    <row r="40" spans="1:33">
      <c r="A40" s="69">
        <v>51</v>
      </c>
      <c r="B40" s="64" t="str">
        <f t="shared" si="0"/>
        <v>Pomoći EU</v>
      </c>
      <c r="C40" s="69">
        <v>3293</v>
      </c>
      <c r="D40" s="64" t="str">
        <f t="shared" si="1"/>
        <v>Reprezentacija</v>
      </c>
      <c r="E40" s="102" t="s">
        <v>1456</v>
      </c>
      <c r="F40" s="64" t="str">
        <f>IFERROR(VLOOKUP(E40,$AD$6:$AE$1085,2,FALSE),"")</f>
        <v>ERASMUS+projekt Fit Old</v>
      </c>
      <c r="G40" s="64" t="str">
        <f t="shared" si="3"/>
        <v>0942</v>
      </c>
      <c r="H40" s="101"/>
      <c r="I40" s="101"/>
      <c r="J40" s="101">
        <v>644</v>
      </c>
      <c r="K40" s="112"/>
      <c r="L40" s="111"/>
      <c r="M40" s="111"/>
      <c r="N40" s="112"/>
      <c r="O40" s="235"/>
      <c r="P40" s="68"/>
      <c r="R40" t="str">
        <f t="shared" si="4"/>
        <v>329</v>
      </c>
      <c r="S40" t="str">
        <f t="shared" si="5"/>
        <v>32</v>
      </c>
      <c r="T40" t="str">
        <f t="shared" si="6"/>
        <v>94</v>
      </c>
      <c r="X40">
        <v>3432</v>
      </c>
      <c r="Y40" t="s">
        <v>776</v>
      </c>
      <c r="AA40" t="str">
        <f t="shared" si="7"/>
        <v>34</v>
      </c>
      <c r="AB40" t="str">
        <f t="shared" si="8"/>
        <v>343</v>
      </c>
      <c r="AD40" t="s">
        <v>1476</v>
      </c>
      <c r="AE40" t="s">
        <v>1477</v>
      </c>
      <c r="AF40" t="str">
        <f t="shared" si="9"/>
        <v>A679071</v>
      </c>
      <c r="AG40" t="str">
        <f>VLOOKUP(AF40,AKT!$C$4:$E$324,3,FALSE)</f>
        <v>0942</v>
      </c>
    </row>
    <row r="41" spans="1:33">
      <c r="A41" s="69">
        <v>51</v>
      </c>
      <c r="B41" s="64" t="str">
        <f t="shared" si="0"/>
        <v>Pomoći EU</v>
      </c>
      <c r="C41" s="69">
        <v>3691</v>
      </c>
      <c r="D41" s="64" t="str">
        <f t="shared" si="1"/>
        <v>Tekući prijenosi između proračunskih korisnika istog proraču</v>
      </c>
      <c r="E41" s="102" t="s">
        <v>1399</v>
      </c>
      <c r="F41" s="64" t="s">
        <v>1478</v>
      </c>
      <c r="G41" s="64" t="str">
        <f t="shared" si="3"/>
        <v>NOVI PODPROJEKT</v>
      </c>
      <c r="H41" s="101"/>
      <c r="I41" s="101"/>
      <c r="J41" s="101">
        <v>330</v>
      </c>
      <c r="K41" s="112"/>
      <c r="L41" s="111"/>
      <c r="M41" s="111"/>
      <c r="N41" s="112"/>
      <c r="O41" s="235"/>
      <c r="P41" s="68"/>
      <c r="R41" t="str">
        <f t="shared" si="4"/>
        <v>369</v>
      </c>
      <c r="S41" t="str">
        <f t="shared" si="5"/>
        <v>36</v>
      </c>
      <c r="T41" t="str">
        <f t="shared" si="6"/>
        <v>OV</v>
      </c>
      <c r="X41">
        <v>3433</v>
      </c>
      <c r="Y41" t="s">
        <v>779</v>
      </c>
      <c r="AA41" t="str">
        <f t="shared" si="7"/>
        <v>34</v>
      </c>
      <c r="AB41" t="str">
        <f t="shared" si="8"/>
        <v>343</v>
      </c>
      <c r="AD41" t="s">
        <v>1479</v>
      </c>
      <c r="AE41" t="s">
        <v>1480</v>
      </c>
      <c r="AF41" t="str">
        <f t="shared" si="9"/>
        <v>A679071</v>
      </c>
      <c r="AG41" t="str">
        <f>VLOOKUP(AF41,AKT!$C$4:$E$324,3,FALSE)</f>
        <v>0942</v>
      </c>
    </row>
    <row r="42" spans="1:33">
      <c r="A42" s="69">
        <v>51</v>
      </c>
      <c r="B42" s="64" t="str">
        <f t="shared" si="0"/>
        <v>Pomoći EU</v>
      </c>
      <c r="C42" s="69">
        <v>3293</v>
      </c>
      <c r="D42" s="64" t="str">
        <f t="shared" si="1"/>
        <v>Reprezentacija</v>
      </c>
      <c r="E42" s="102" t="s">
        <v>1407</v>
      </c>
      <c r="F42" s="64" t="str">
        <f t="shared" ref="F42:F105" si="10">IFERROR(VLOOKUP(E42,$AD$6:$AE$1085,2,FALSE),"")</f>
        <v>OBZOR 2020 Znanost i tehnologija u politici pretilosti djece- STOP</v>
      </c>
      <c r="G42" s="64" t="str">
        <f t="shared" si="3"/>
        <v>0942</v>
      </c>
      <c r="H42" s="101"/>
      <c r="I42" s="101"/>
      <c r="J42" s="101">
        <v>91</v>
      </c>
      <c r="K42" s="112"/>
      <c r="L42" s="111"/>
      <c r="M42" s="111"/>
      <c r="N42" s="112"/>
      <c r="O42" s="235"/>
      <c r="P42" s="68"/>
      <c r="R42" t="str">
        <f t="shared" si="4"/>
        <v>329</v>
      </c>
      <c r="S42" t="str">
        <f t="shared" si="5"/>
        <v>32</v>
      </c>
      <c r="T42" t="str">
        <f t="shared" si="6"/>
        <v>94</v>
      </c>
      <c r="X42">
        <v>3434</v>
      </c>
      <c r="Y42" t="s">
        <v>783</v>
      </c>
      <c r="AA42" t="str">
        <f t="shared" si="7"/>
        <v>34</v>
      </c>
      <c r="AB42" t="str">
        <f t="shared" si="8"/>
        <v>343</v>
      </c>
      <c r="AD42" t="s">
        <v>1481</v>
      </c>
      <c r="AE42" t="s">
        <v>1482</v>
      </c>
      <c r="AF42" t="str">
        <f t="shared" si="9"/>
        <v>A679071</v>
      </c>
      <c r="AG42" t="str">
        <f>VLOOKUP(AF42,AKT!$C$4:$E$324,3,FALSE)</f>
        <v>0942</v>
      </c>
    </row>
    <row r="43" spans="1:33">
      <c r="A43" s="69">
        <v>51</v>
      </c>
      <c r="B43" s="64" t="str">
        <f t="shared" si="0"/>
        <v>Pomoći EU</v>
      </c>
      <c r="C43" s="69">
        <v>3231</v>
      </c>
      <c r="D43" s="64" t="str">
        <f t="shared" si="1"/>
        <v>Usluge telefona, pošte i prijevoza</v>
      </c>
      <c r="E43" s="102" t="s">
        <v>1456</v>
      </c>
      <c r="F43" s="64" t="str">
        <f t="shared" si="10"/>
        <v>ERASMUS+projekt Fit Old</v>
      </c>
      <c r="G43" s="64" t="str">
        <f t="shared" si="3"/>
        <v>0942</v>
      </c>
      <c r="H43" s="101"/>
      <c r="I43" s="101"/>
      <c r="J43" s="101">
        <v>120</v>
      </c>
      <c r="K43" s="112"/>
      <c r="L43" s="111"/>
      <c r="M43" s="111"/>
      <c r="N43" s="112"/>
      <c r="O43" s="235"/>
      <c r="P43" s="68"/>
      <c r="R43" t="str">
        <f t="shared" si="4"/>
        <v>323</v>
      </c>
      <c r="S43" t="str">
        <f t="shared" si="5"/>
        <v>32</v>
      </c>
      <c r="T43" t="str">
        <f t="shared" si="6"/>
        <v>94</v>
      </c>
      <c r="X43">
        <v>3511</v>
      </c>
      <c r="Y43" t="s">
        <v>786</v>
      </c>
      <c r="AA43" t="str">
        <f t="shared" si="7"/>
        <v>35</v>
      </c>
      <c r="AB43" t="str">
        <f t="shared" si="8"/>
        <v>351</v>
      </c>
      <c r="AD43" t="s">
        <v>1483</v>
      </c>
      <c r="AE43" t="s">
        <v>1484</v>
      </c>
      <c r="AF43" t="str">
        <f t="shared" si="9"/>
        <v>A679071</v>
      </c>
      <c r="AG43" t="str">
        <f>VLOOKUP(AF43,AKT!$C$4:$E$324,3,FALSE)</f>
        <v>0942</v>
      </c>
    </row>
    <row r="44" spans="1:33">
      <c r="A44" s="69">
        <v>51</v>
      </c>
      <c r="B44" s="64" t="str">
        <f t="shared" si="0"/>
        <v>Pomoći EU</v>
      </c>
      <c r="C44" s="69">
        <v>3293</v>
      </c>
      <c r="D44" s="64" t="str">
        <f t="shared" si="1"/>
        <v>Reprezentacija</v>
      </c>
      <c r="E44" s="102" t="s">
        <v>1404</v>
      </c>
      <c r="F44" s="64" t="str">
        <f t="shared" si="10"/>
        <v>ERASMUS+projekt FitBack</v>
      </c>
      <c r="G44" s="64" t="str">
        <f t="shared" si="3"/>
        <v>0942</v>
      </c>
      <c r="H44" s="101">
        <v>1182</v>
      </c>
      <c r="I44" s="101"/>
      <c r="J44" s="101"/>
      <c r="K44" s="112"/>
      <c r="L44" s="111"/>
      <c r="M44" s="111"/>
      <c r="N44" s="112"/>
      <c r="O44" s="235"/>
      <c r="P44" s="68"/>
      <c r="R44" t="str">
        <f t="shared" si="4"/>
        <v>329</v>
      </c>
      <c r="S44" t="str">
        <f t="shared" si="5"/>
        <v>32</v>
      </c>
      <c r="T44" t="str">
        <f t="shared" si="6"/>
        <v>94</v>
      </c>
      <c r="X44">
        <v>3512</v>
      </c>
      <c r="Y44" t="s">
        <v>789</v>
      </c>
      <c r="AA44" t="str">
        <f t="shared" si="7"/>
        <v>35</v>
      </c>
      <c r="AB44" t="str">
        <f t="shared" si="8"/>
        <v>351</v>
      </c>
      <c r="AD44" t="s">
        <v>1485</v>
      </c>
      <c r="AE44" t="s">
        <v>1486</v>
      </c>
      <c r="AF44" t="str">
        <f t="shared" si="9"/>
        <v>A679071</v>
      </c>
      <c r="AG44" t="str">
        <f>VLOOKUP(AF44,AKT!$C$4:$E$324,3,FALSE)</f>
        <v>0942</v>
      </c>
    </row>
    <row r="45" spans="1:33">
      <c r="A45" s="69">
        <v>51</v>
      </c>
      <c r="B45" s="64" t="str">
        <f t="shared" si="0"/>
        <v>Pomoći EU</v>
      </c>
      <c r="C45" s="69">
        <v>3681</v>
      </c>
      <c r="D45" s="64" t="str">
        <f t="shared" si="1"/>
        <v>Tekuće pomoći temeljem prijenosa EU sredstava</v>
      </c>
      <c r="E45" s="102" t="s">
        <v>1423</v>
      </c>
      <c r="F45" s="64" t="str">
        <f t="shared" si="10"/>
        <v>Projekt: Stvaranje mehanizama za kontinuiranu provedba sportskog kluba za zdravlje u Europskoj uniji</v>
      </c>
      <c r="G45" s="64" t="str">
        <f t="shared" si="3"/>
        <v>0942</v>
      </c>
      <c r="H45" s="101"/>
      <c r="I45" s="101">
        <v>77056</v>
      </c>
      <c r="J45" s="101"/>
      <c r="K45" s="112"/>
      <c r="L45" s="111"/>
      <c r="M45" s="111"/>
      <c r="N45" s="112"/>
      <c r="O45" s="235"/>
      <c r="P45" s="68"/>
      <c r="R45" t="str">
        <f t="shared" si="4"/>
        <v>368</v>
      </c>
      <c r="S45" t="str">
        <f t="shared" si="5"/>
        <v>36</v>
      </c>
      <c r="T45" t="str">
        <f t="shared" si="6"/>
        <v>94</v>
      </c>
      <c r="X45">
        <v>3522</v>
      </c>
      <c r="Y45" t="s">
        <v>791</v>
      </c>
      <c r="AA45" t="str">
        <f t="shared" si="7"/>
        <v>35</v>
      </c>
      <c r="AB45" t="str">
        <f t="shared" si="8"/>
        <v>352</v>
      </c>
      <c r="AD45" t="s">
        <v>1487</v>
      </c>
      <c r="AE45" t="s">
        <v>1488</v>
      </c>
      <c r="AF45" t="str">
        <f t="shared" si="9"/>
        <v>A679071</v>
      </c>
      <c r="AG45" t="str">
        <f>VLOOKUP(AF45,AKT!$C$4:$E$324,3,FALSE)</f>
        <v>0942</v>
      </c>
    </row>
    <row r="46" spans="1:33">
      <c r="A46" s="69">
        <v>51</v>
      </c>
      <c r="B46" s="64" t="str">
        <f t="shared" si="0"/>
        <v>Pomoći EU</v>
      </c>
      <c r="C46" s="69">
        <v>3111</v>
      </c>
      <c r="D46" s="64" t="str">
        <f t="shared" si="1"/>
        <v>Plaće za redovan rad</v>
      </c>
      <c r="E46" s="102" t="s">
        <v>1445</v>
      </c>
      <c r="F46" s="64" t="str">
        <f t="shared" si="10"/>
        <v>ERASMUS+projekt Sky Easy</v>
      </c>
      <c r="G46" s="64" t="str">
        <f t="shared" si="3"/>
        <v>0942</v>
      </c>
      <c r="H46" s="101"/>
      <c r="I46" s="101">
        <v>9611</v>
      </c>
      <c r="J46" s="101"/>
      <c r="K46" s="112"/>
      <c r="L46" s="111"/>
      <c r="M46" s="111"/>
      <c r="N46" s="112"/>
      <c r="O46" s="235"/>
      <c r="P46" s="68"/>
      <c r="R46" t="str">
        <f t="shared" si="4"/>
        <v>311</v>
      </c>
      <c r="S46" t="str">
        <f t="shared" si="5"/>
        <v>31</v>
      </c>
      <c r="T46" t="str">
        <f t="shared" si="6"/>
        <v>94</v>
      </c>
      <c r="X46">
        <v>3531</v>
      </c>
      <c r="Y46" t="s">
        <v>794</v>
      </c>
      <c r="AA46" t="str">
        <f t="shared" si="7"/>
        <v>35</v>
      </c>
      <c r="AB46" t="str">
        <f t="shared" si="8"/>
        <v>353</v>
      </c>
      <c r="AD46" t="s">
        <v>1489</v>
      </c>
      <c r="AE46" t="s">
        <v>1490</v>
      </c>
      <c r="AF46" t="str">
        <f t="shared" si="9"/>
        <v>A679071</v>
      </c>
      <c r="AG46" t="str">
        <f>VLOOKUP(AF46,AKT!$C$4:$E$324,3,FALSE)</f>
        <v>0942</v>
      </c>
    </row>
    <row r="47" spans="1:33">
      <c r="A47" s="69">
        <v>51</v>
      </c>
      <c r="B47" s="64" t="str">
        <f t="shared" si="0"/>
        <v>Pomoći EU</v>
      </c>
      <c r="C47" s="69">
        <v>3132</v>
      </c>
      <c r="D47" s="64" t="str">
        <f t="shared" si="1"/>
        <v>Doprinosi za obvezno zdravstveno osiguranje</v>
      </c>
      <c r="E47" s="102" t="s">
        <v>1445</v>
      </c>
      <c r="F47" s="64" t="str">
        <f t="shared" si="10"/>
        <v>ERASMUS+projekt Sky Easy</v>
      </c>
      <c r="G47" s="64" t="str">
        <f t="shared" si="3"/>
        <v>0942</v>
      </c>
      <c r="H47" s="101"/>
      <c r="I47" s="101">
        <v>1586</v>
      </c>
      <c r="J47" s="101"/>
      <c r="K47" s="112"/>
      <c r="L47" s="111"/>
      <c r="M47" s="111"/>
      <c r="N47" s="112"/>
      <c r="O47" s="235"/>
      <c r="P47" s="68"/>
      <c r="R47" t="str">
        <f t="shared" si="4"/>
        <v>313</v>
      </c>
      <c r="S47" t="str">
        <f t="shared" si="5"/>
        <v>31</v>
      </c>
      <c r="T47" t="str">
        <f t="shared" si="6"/>
        <v>94</v>
      </c>
      <c r="X47">
        <v>3611</v>
      </c>
      <c r="Y47" t="s">
        <v>797</v>
      </c>
      <c r="AA47" t="str">
        <f t="shared" si="7"/>
        <v>36</v>
      </c>
      <c r="AB47" t="str">
        <f t="shared" si="8"/>
        <v>361</v>
      </c>
      <c r="AD47" t="s">
        <v>1491</v>
      </c>
      <c r="AE47" t="s">
        <v>1492</v>
      </c>
      <c r="AF47" t="str">
        <f t="shared" si="9"/>
        <v>A679071</v>
      </c>
      <c r="AG47" t="str">
        <f>VLOOKUP(AF47,AKT!$C$4:$E$324,3,FALSE)</f>
        <v>0942</v>
      </c>
    </row>
    <row r="48" spans="1:33">
      <c r="A48" s="69">
        <v>51</v>
      </c>
      <c r="B48" s="64" t="str">
        <f t="shared" si="0"/>
        <v>Pomoći EU</v>
      </c>
      <c r="C48" s="69">
        <v>3211</v>
      </c>
      <c r="D48" s="64" t="str">
        <f t="shared" si="1"/>
        <v>Službena putovanja</v>
      </c>
      <c r="E48" s="102" t="s">
        <v>1456</v>
      </c>
      <c r="F48" s="64" t="str">
        <f t="shared" si="10"/>
        <v>ERASMUS+projekt Fit Old</v>
      </c>
      <c r="G48" s="64" t="str">
        <f t="shared" si="3"/>
        <v>0942</v>
      </c>
      <c r="H48" s="101"/>
      <c r="I48" s="101">
        <v>5072</v>
      </c>
      <c r="J48" s="101"/>
      <c r="K48" s="112"/>
      <c r="L48" s="111"/>
      <c r="M48" s="111"/>
      <c r="N48" s="112"/>
      <c r="O48" s="235"/>
      <c r="P48" s="68"/>
      <c r="R48" t="str">
        <f t="shared" si="4"/>
        <v>321</v>
      </c>
      <c r="S48" t="str">
        <f t="shared" si="5"/>
        <v>32</v>
      </c>
      <c r="T48" t="str">
        <f t="shared" si="6"/>
        <v>94</v>
      </c>
      <c r="X48">
        <v>3621</v>
      </c>
      <c r="Y48" t="s">
        <v>800</v>
      </c>
      <c r="AA48" t="str">
        <f t="shared" si="7"/>
        <v>36</v>
      </c>
      <c r="AB48" t="str">
        <f t="shared" si="8"/>
        <v>362</v>
      </c>
      <c r="AD48" t="s">
        <v>1493</v>
      </c>
      <c r="AE48" t="s">
        <v>1494</v>
      </c>
      <c r="AF48" t="str">
        <f t="shared" si="9"/>
        <v>A679071</v>
      </c>
      <c r="AG48" t="str">
        <f>VLOOKUP(AF48,AKT!$C$4:$E$324,3,FALSE)</f>
        <v>0942</v>
      </c>
    </row>
    <row r="49" spans="1:33">
      <c r="A49" s="69">
        <v>51</v>
      </c>
      <c r="B49" s="64" t="str">
        <f t="shared" si="0"/>
        <v>Pomoći EU</v>
      </c>
      <c r="C49" s="69">
        <v>3237</v>
      </c>
      <c r="D49" s="64" t="str">
        <f t="shared" si="1"/>
        <v>Intelektualne i osobne usluge</v>
      </c>
      <c r="E49" s="102" t="s">
        <v>1410</v>
      </c>
      <c r="F49" s="64" t="str">
        <f t="shared" si="10"/>
        <v>WE-CARE Projekt: Uspostavljanjem nacionalne skrbi i razvojnim centrima podržavamo elitne sportaše u uravnoteženju rezultata sporta i obrazovanja / zapošljavanja</v>
      </c>
      <c r="G49" s="64" t="str">
        <f t="shared" si="3"/>
        <v>0942</v>
      </c>
      <c r="H49" s="101"/>
      <c r="I49" s="101"/>
      <c r="J49" s="101">
        <v>1257</v>
      </c>
      <c r="K49" s="112"/>
      <c r="L49" s="111"/>
      <c r="M49" s="111"/>
      <c r="N49" s="112"/>
      <c r="O49" s="235"/>
      <c r="P49" s="68"/>
      <c r="R49" t="str">
        <f t="shared" si="4"/>
        <v>323</v>
      </c>
      <c r="S49" t="str">
        <f t="shared" si="5"/>
        <v>32</v>
      </c>
      <c r="T49" t="str">
        <f t="shared" si="6"/>
        <v>94</v>
      </c>
      <c r="X49">
        <v>3631</v>
      </c>
      <c r="Y49" t="s">
        <v>806</v>
      </c>
      <c r="AA49" t="str">
        <f t="shared" si="7"/>
        <v>36</v>
      </c>
      <c r="AB49" t="str">
        <f t="shared" si="8"/>
        <v>363</v>
      </c>
      <c r="AD49" t="s">
        <v>1495</v>
      </c>
      <c r="AE49" t="s">
        <v>1496</v>
      </c>
      <c r="AF49" t="str">
        <f t="shared" si="9"/>
        <v>A679071</v>
      </c>
      <c r="AG49" t="str">
        <f>VLOOKUP(AF49,AKT!$C$4:$E$324,3,FALSE)</f>
        <v>0942</v>
      </c>
    </row>
    <row r="50" spans="1:33">
      <c r="A50" s="69">
        <v>51</v>
      </c>
      <c r="B50" s="64" t="str">
        <f t="shared" si="0"/>
        <v>Pomoći EU</v>
      </c>
      <c r="C50" s="69">
        <v>3231</v>
      </c>
      <c r="D50" s="64" t="str">
        <f t="shared" si="1"/>
        <v>Usluge telefona, pošte i prijevoza</v>
      </c>
      <c r="E50" s="102" t="s">
        <v>1445</v>
      </c>
      <c r="F50" s="64" t="str">
        <f t="shared" si="10"/>
        <v>ERASMUS+projekt Sky Easy</v>
      </c>
      <c r="G50" s="64" t="str">
        <f t="shared" si="3"/>
        <v>0942</v>
      </c>
      <c r="H50" s="101"/>
      <c r="I50" s="101"/>
      <c r="J50" s="101">
        <v>248</v>
      </c>
      <c r="K50" s="112"/>
      <c r="L50" s="111"/>
      <c r="M50" s="111"/>
      <c r="N50" s="112"/>
      <c r="O50" s="235"/>
      <c r="P50" s="68"/>
      <c r="R50" t="str">
        <f t="shared" si="4"/>
        <v>323</v>
      </c>
      <c r="S50" t="str">
        <f t="shared" si="5"/>
        <v>32</v>
      </c>
      <c r="T50" t="str">
        <f t="shared" si="6"/>
        <v>94</v>
      </c>
      <c r="X50">
        <v>3632</v>
      </c>
      <c r="Y50" t="s">
        <v>809</v>
      </c>
      <c r="AA50" t="str">
        <f t="shared" si="7"/>
        <v>36</v>
      </c>
      <c r="AB50" t="str">
        <f t="shared" si="8"/>
        <v>363</v>
      </c>
      <c r="AD50" t="s">
        <v>1497</v>
      </c>
      <c r="AE50" t="s">
        <v>1498</v>
      </c>
      <c r="AF50" t="str">
        <f t="shared" si="9"/>
        <v>A679071</v>
      </c>
      <c r="AG50" t="str">
        <f>VLOOKUP(AF50,AKT!$C$4:$E$324,3,FALSE)</f>
        <v>0942</v>
      </c>
    </row>
    <row r="51" spans="1:33">
      <c r="A51" s="69"/>
      <c r="B51" s="64" t="str">
        <f t="shared" si="0"/>
        <v/>
      </c>
      <c r="C51" s="69"/>
      <c r="D51" s="64" t="str">
        <f t="shared" si="1"/>
        <v/>
      </c>
      <c r="E51" s="102"/>
      <c r="F51" s="64" t="str">
        <f t="shared" si="10"/>
        <v/>
      </c>
      <c r="G51" s="64" t="str">
        <f t="shared" si="3"/>
        <v/>
      </c>
      <c r="H51" s="101"/>
      <c r="I51" s="101"/>
      <c r="J51" s="101"/>
      <c r="K51" s="112"/>
      <c r="L51" s="111"/>
      <c r="M51" s="111"/>
      <c r="N51" s="112"/>
      <c r="O51" s="235"/>
      <c r="P51" s="68"/>
      <c r="R51" t="str">
        <f t="shared" si="4"/>
        <v/>
      </c>
      <c r="S51" t="str">
        <f t="shared" si="5"/>
        <v/>
      </c>
      <c r="T51" t="str">
        <f t="shared" si="6"/>
        <v/>
      </c>
      <c r="X51">
        <v>3661</v>
      </c>
      <c r="Y51" t="s">
        <v>812</v>
      </c>
      <c r="AA51" t="str">
        <f t="shared" si="7"/>
        <v>36</v>
      </c>
      <c r="AB51" t="str">
        <f t="shared" si="8"/>
        <v>366</v>
      </c>
      <c r="AD51" t="s">
        <v>1499</v>
      </c>
      <c r="AE51" t="s">
        <v>1500</v>
      </c>
      <c r="AF51" t="str">
        <f t="shared" si="9"/>
        <v>A679071</v>
      </c>
      <c r="AG51" t="str">
        <f>VLOOKUP(AF51,AKT!$C$4:$E$324,3,FALSE)</f>
        <v>0942</v>
      </c>
    </row>
    <row r="52" spans="1:33">
      <c r="A52" s="69"/>
      <c r="B52" s="64" t="str">
        <f t="shared" si="0"/>
        <v/>
      </c>
      <c r="C52" s="69"/>
      <c r="D52" s="64" t="str">
        <f t="shared" si="1"/>
        <v/>
      </c>
      <c r="E52" s="102"/>
      <c r="F52" s="64" t="str">
        <f t="shared" si="10"/>
        <v/>
      </c>
      <c r="G52" s="64" t="str">
        <f t="shared" si="3"/>
        <v/>
      </c>
      <c r="H52" s="101"/>
      <c r="I52" s="101"/>
      <c r="J52" s="101"/>
      <c r="K52" s="112"/>
      <c r="L52" s="111"/>
      <c r="M52" s="111"/>
      <c r="N52" s="112"/>
      <c r="O52" s="235"/>
      <c r="P52" s="68"/>
      <c r="R52" t="str">
        <f t="shared" si="4"/>
        <v/>
      </c>
      <c r="S52" t="str">
        <f t="shared" si="5"/>
        <v/>
      </c>
      <c r="T52" t="str">
        <f t="shared" si="6"/>
        <v/>
      </c>
      <c r="X52">
        <v>3662</v>
      </c>
      <c r="Y52" t="s">
        <v>815</v>
      </c>
      <c r="AA52" t="str">
        <f t="shared" si="7"/>
        <v>36</v>
      </c>
      <c r="AB52" t="str">
        <f t="shared" si="8"/>
        <v>366</v>
      </c>
      <c r="AD52" t="s">
        <v>1501</v>
      </c>
      <c r="AE52" t="s">
        <v>1502</v>
      </c>
      <c r="AF52" t="str">
        <f t="shared" si="9"/>
        <v>A679071</v>
      </c>
      <c r="AG52" t="str">
        <f>VLOOKUP(AF52,AKT!$C$4:$E$324,3,FALSE)</f>
        <v>0942</v>
      </c>
    </row>
    <row r="53" spans="1:33">
      <c r="A53" s="69"/>
      <c r="B53" s="64" t="str">
        <f t="shared" si="0"/>
        <v/>
      </c>
      <c r="C53" s="69"/>
      <c r="D53" s="64" t="str">
        <f t="shared" si="1"/>
        <v/>
      </c>
      <c r="E53" s="102"/>
      <c r="F53" s="64" t="str">
        <f t="shared" si="10"/>
        <v/>
      </c>
      <c r="G53" s="64" t="str">
        <f t="shared" si="3"/>
        <v/>
      </c>
      <c r="H53" s="101"/>
      <c r="I53" s="101"/>
      <c r="J53" s="101"/>
      <c r="K53" s="112"/>
      <c r="L53" s="111"/>
      <c r="M53" s="111"/>
      <c r="N53" s="112"/>
      <c r="O53" s="235"/>
      <c r="P53" s="68"/>
      <c r="R53" t="str">
        <f t="shared" si="4"/>
        <v/>
      </c>
      <c r="S53" t="str">
        <f t="shared" si="5"/>
        <v/>
      </c>
      <c r="T53" t="str">
        <f t="shared" si="6"/>
        <v/>
      </c>
      <c r="X53">
        <v>3681</v>
      </c>
      <c r="Y53" t="s">
        <v>818</v>
      </c>
      <c r="AA53" t="str">
        <f t="shared" si="7"/>
        <v>36</v>
      </c>
      <c r="AB53" t="str">
        <f t="shared" si="8"/>
        <v>368</v>
      </c>
      <c r="AD53" t="s">
        <v>1503</v>
      </c>
      <c r="AE53" t="s">
        <v>1504</v>
      </c>
      <c r="AF53" t="str">
        <f t="shared" si="9"/>
        <v>A679071</v>
      </c>
      <c r="AG53" t="str">
        <f>VLOOKUP(AF53,AKT!$C$4:$E$324,3,FALSE)</f>
        <v>0942</v>
      </c>
    </row>
    <row r="54" spans="1:33">
      <c r="A54" s="69"/>
      <c r="B54" s="64" t="str">
        <f t="shared" si="0"/>
        <v/>
      </c>
      <c r="C54" s="69"/>
      <c r="D54" s="64" t="str">
        <f t="shared" si="1"/>
        <v/>
      </c>
      <c r="E54" s="102"/>
      <c r="F54" s="64" t="str">
        <f t="shared" si="10"/>
        <v/>
      </c>
      <c r="G54" s="64" t="str">
        <f t="shared" si="3"/>
        <v/>
      </c>
      <c r="H54" s="101"/>
      <c r="I54" s="101"/>
      <c r="J54" s="101"/>
      <c r="K54" s="112"/>
      <c r="L54" s="111"/>
      <c r="M54" s="111"/>
      <c r="N54" s="112"/>
      <c r="O54" s="235"/>
      <c r="P54" s="68"/>
      <c r="R54" t="str">
        <f t="shared" si="4"/>
        <v/>
      </c>
      <c r="S54" t="str">
        <f t="shared" si="5"/>
        <v/>
      </c>
      <c r="T54" t="str">
        <f t="shared" si="6"/>
        <v/>
      </c>
      <c r="X54">
        <v>3682</v>
      </c>
      <c r="Y54" t="s">
        <v>821</v>
      </c>
      <c r="AA54" t="str">
        <f t="shared" si="7"/>
        <v>36</v>
      </c>
      <c r="AB54" t="str">
        <f t="shared" si="8"/>
        <v>368</v>
      </c>
      <c r="AD54" t="s">
        <v>1505</v>
      </c>
      <c r="AE54" t="s">
        <v>1506</v>
      </c>
      <c r="AF54" t="str">
        <f t="shared" si="9"/>
        <v>A679071</v>
      </c>
      <c r="AG54" t="str">
        <f>VLOOKUP(AF54,AKT!$C$4:$E$324,3,FALSE)</f>
        <v>0942</v>
      </c>
    </row>
    <row r="55" spans="1:33">
      <c r="A55" s="69"/>
      <c r="B55" s="64" t="str">
        <f t="shared" si="0"/>
        <v/>
      </c>
      <c r="C55" s="69"/>
      <c r="D55" s="64" t="str">
        <f t="shared" si="1"/>
        <v/>
      </c>
      <c r="E55" s="102"/>
      <c r="F55" s="64" t="str">
        <f t="shared" si="10"/>
        <v/>
      </c>
      <c r="G55" s="64" t="str">
        <f t="shared" si="3"/>
        <v/>
      </c>
      <c r="H55" s="101"/>
      <c r="I55" s="101"/>
      <c r="J55" s="101"/>
      <c r="K55" s="112"/>
      <c r="L55" s="111"/>
      <c r="M55" s="111"/>
      <c r="N55" s="112"/>
      <c r="O55" s="235"/>
      <c r="P55" s="68"/>
      <c r="R55" t="str">
        <f t="shared" si="4"/>
        <v/>
      </c>
      <c r="S55" t="str">
        <f t="shared" si="5"/>
        <v/>
      </c>
      <c r="T55" t="str">
        <f t="shared" si="6"/>
        <v/>
      </c>
      <c r="X55">
        <v>3691</v>
      </c>
      <c r="Y55" t="s">
        <v>824</v>
      </c>
      <c r="AA55" t="str">
        <f t="shared" si="7"/>
        <v>36</v>
      </c>
      <c r="AB55" t="str">
        <f t="shared" si="8"/>
        <v>369</v>
      </c>
      <c r="AD55" t="s">
        <v>1507</v>
      </c>
      <c r="AE55" t="s">
        <v>1508</v>
      </c>
      <c r="AF55" t="str">
        <f t="shared" si="9"/>
        <v>A679071</v>
      </c>
      <c r="AG55" t="str">
        <f>VLOOKUP(AF55,AKT!$C$4:$E$324,3,FALSE)</f>
        <v>0942</v>
      </c>
    </row>
    <row r="56" spans="1:33">
      <c r="A56" s="69"/>
      <c r="B56" s="64" t="str">
        <f t="shared" si="0"/>
        <v/>
      </c>
      <c r="C56" s="69"/>
      <c r="D56" s="64" t="str">
        <f t="shared" si="1"/>
        <v/>
      </c>
      <c r="E56" s="102"/>
      <c r="F56" s="64" t="str">
        <f t="shared" si="10"/>
        <v/>
      </c>
      <c r="G56" s="64" t="str">
        <f t="shared" si="3"/>
        <v/>
      </c>
      <c r="H56" s="101"/>
      <c r="I56" s="101"/>
      <c r="J56" s="101"/>
      <c r="K56" s="112"/>
      <c r="L56" s="111"/>
      <c r="M56" s="111"/>
      <c r="N56" s="112"/>
      <c r="O56" s="235"/>
      <c r="P56" s="68"/>
      <c r="R56" t="str">
        <f t="shared" si="4"/>
        <v/>
      </c>
      <c r="S56" t="str">
        <f t="shared" si="5"/>
        <v/>
      </c>
      <c r="T56" t="str">
        <f t="shared" si="6"/>
        <v/>
      </c>
      <c r="X56">
        <v>3692</v>
      </c>
      <c r="Y56" t="s">
        <v>827</v>
      </c>
      <c r="AA56" t="str">
        <f t="shared" si="7"/>
        <v>36</v>
      </c>
      <c r="AB56" t="str">
        <f t="shared" si="8"/>
        <v>369</v>
      </c>
      <c r="AD56" t="s">
        <v>1509</v>
      </c>
      <c r="AE56" t="s">
        <v>1510</v>
      </c>
      <c r="AF56" t="str">
        <f t="shared" si="9"/>
        <v>A679071</v>
      </c>
      <c r="AG56" t="str">
        <f>VLOOKUP(AF56,AKT!$C$4:$E$324,3,FALSE)</f>
        <v>0942</v>
      </c>
    </row>
    <row r="57" spans="1:33">
      <c r="A57" s="69"/>
      <c r="B57" s="64" t="str">
        <f t="shared" si="0"/>
        <v/>
      </c>
      <c r="C57" s="69"/>
      <c r="D57" s="64" t="str">
        <f t="shared" si="1"/>
        <v/>
      </c>
      <c r="E57" s="102"/>
      <c r="F57" s="64" t="str">
        <f t="shared" si="10"/>
        <v/>
      </c>
      <c r="G57" s="64" t="str">
        <f t="shared" si="3"/>
        <v/>
      </c>
      <c r="H57" s="101"/>
      <c r="I57" s="101"/>
      <c r="J57" s="101"/>
      <c r="K57" s="112"/>
      <c r="L57" s="111"/>
      <c r="M57" s="111"/>
      <c r="N57" s="112"/>
      <c r="O57" s="235"/>
      <c r="P57" s="68"/>
      <c r="R57" t="str">
        <f t="shared" si="4"/>
        <v/>
      </c>
      <c r="S57" t="str">
        <f t="shared" si="5"/>
        <v/>
      </c>
      <c r="T57" t="str">
        <f t="shared" si="6"/>
        <v/>
      </c>
      <c r="X57">
        <v>3693</v>
      </c>
      <c r="Y57" t="s">
        <v>824</v>
      </c>
      <c r="AA57" t="str">
        <f t="shared" si="7"/>
        <v>36</v>
      </c>
      <c r="AB57" t="str">
        <f t="shared" si="8"/>
        <v>369</v>
      </c>
      <c r="AD57" t="s">
        <v>1511</v>
      </c>
      <c r="AE57" t="s">
        <v>1512</v>
      </c>
      <c r="AF57" t="str">
        <f t="shared" si="9"/>
        <v>A679071</v>
      </c>
      <c r="AG57" t="str">
        <f>VLOOKUP(AF57,AKT!$C$4:$E$324,3,FALSE)</f>
        <v>0942</v>
      </c>
    </row>
    <row r="58" spans="1:33">
      <c r="A58" s="69"/>
      <c r="B58" s="64" t="str">
        <f t="shared" si="0"/>
        <v/>
      </c>
      <c r="C58" s="69"/>
      <c r="D58" s="64" t="str">
        <f t="shared" si="1"/>
        <v/>
      </c>
      <c r="E58" s="102"/>
      <c r="F58" s="64" t="str">
        <f t="shared" si="10"/>
        <v/>
      </c>
      <c r="G58" s="64" t="str">
        <f t="shared" si="3"/>
        <v/>
      </c>
      <c r="H58" s="101"/>
      <c r="I58" s="101"/>
      <c r="J58" s="101"/>
      <c r="K58" s="112"/>
      <c r="L58" s="111"/>
      <c r="M58" s="111"/>
      <c r="N58" s="112"/>
      <c r="O58" s="235"/>
      <c r="P58" s="68"/>
      <c r="R58" t="str">
        <f t="shared" si="4"/>
        <v/>
      </c>
      <c r="S58" t="str">
        <f t="shared" si="5"/>
        <v/>
      </c>
      <c r="T58" t="str">
        <f t="shared" si="6"/>
        <v/>
      </c>
      <c r="X58">
        <v>3694</v>
      </c>
      <c r="Y58" t="s">
        <v>827</v>
      </c>
      <c r="AA58" t="str">
        <f t="shared" si="7"/>
        <v>36</v>
      </c>
      <c r="AB58" t="str">
        <f t="shared" si="8"/>
        <v>369</v>
      </c>
      <c r="AD58" t="s">
        <v>1513</v>
      </c>
      <c r="AE58" t="s">
        <v>1514</v>
      </c>
      <c r="AF58" t="str">
        <f t="shared" si="9"/>
        <v>A679071</v>
      </c>
      <c r="AG58" t="str">
        <f>VLOOKUP(AF58,AKT!$C$4:$E$324,3,FALSE)</f>
        <v>0942</v>
      </c>
    </row>
    <row r="59" spans="1:33">
      <c r="A59" s="69"/>
      <c r="B59" s="64" t="str">
        <f t="shared" si="0"/>
        <v/>
      </c>
      <c r="C59" s="69"/>
      <c r="D59" s="64" t="str">
        <f t="shared" si="1"/>
        <v/>
      </c>
      <c r="E59" s="102"/>
      <c r="F59" s="64" t="str">
        <f t="shared" si="10"/>
        <v/>
      </c>
      <c r="G59" s="64" t="str">
        <f t="shared" si="3"/>
        <v/>
      </c>
      <c r="H59" s="101"/>
      <c r="I59" s="101"/>
      <c r="J59" s="101"/>
      <c r="K59" s="112"/>
      <c r="L59" s="111"/>
      <c r="M59" s="111"/>
      <c r="N59" s="112"/>
      <c r="O59" s="235"/>
      <c r="P59" s="68"/>
      <c r="R59" t="str">
        <f t="shared" si="4"/>
        <v/>
      </c>
      <c r="S59" t="str">
        <f t="shared" si="5"/>
        <v/>
      </c>
      <c r="T59" t="str">
        <f t="shared" si="6"/>
        <v/>
      </c>
      <c r="X59">
        <v>3711</v>
      </c>
      <c r="Y59" t="s">
        <v>834</v>
      </c>
      <c r="AA59" t="str">
        <f t="shared" si="7"/>
        <v>37</v>
      </c>
      <c r="AB59" t="str">
        <f t="shared" si="8"/>
        <v>371</v>
      </c>
      <c r="AD59" t="s">
        <v>1515</v>
      </c>
      <c r="AE59" t="s">
        <v>1516</v>
      </c>
      <c r="AF59" t="str">
        <f t="shared" si="9"/>
        <v>A679071</v>
      </c>
      <c r="AG59" t="str">
        <f>VLOOKUP(AF59,AKT!$C$4:$E$324,3,FALSE)</f>
        <v>0942</v>
      </c>
    </row>
    <row r="60" spans="1:33">
      <c r="A60" s="69"/>
      <c r="B60" s="64" t="str">
        <f t="shared" si="0"/>
        <v/>
      </c>
      <c r="C60" s="69"/>
      <c r="D60" s="64" t="str">
        <f t="shared" si="1"/>
        <v/>
      </c>
      <c r="E60" s="102"/>
      <c r="F60" s="64" t="str">
        <f t="shared" si="10"/>
        <v/>
      </c>
      <c r="G60" s="64" t="str">
        <f t="shared" si="3"/>
        <v/>
      </c>
      <c r="H60" s="101"/>
      <c r="I60" s="101"/>
      <c r="J60" s="101"/>
      <c r="K60" s="112"/>
      <c r="L60" s="111"/>
      <c r="M60" s="111"/>
      <c r="N60" s="112"/>
      <c r="O60" s="235"/>
      <c r="P60" s="68"/>
      <c r="R60" t="str">
        <f t="shared" si="4"/>
        <v/>
      </c>
      <c r="S60" t="str">
        <f t="shared" si="5"/>
        <v/>
      </c>
      <c r="T60" t="str">
        <f t="shared" si="6"/>
        <v/>
      </c>
      <c r="X60">
        <v>3712</v>
      </c>
      <c r="Y60" t="s">
        <v>837</v>
      </c>
      <c r="AA60" t="str">
        <f t="shared" si="7"/>
        <v>37</v>
      </c>
      <c r="AB60" t="str">
        <f t="shared" si="8"/>
        <v>371</v>
      </c>
      <c r="AD60" t="s">
        <v>1517</v>
      </c>
      <c r="AE60" t="s">
        <v>1518</v>
      </c>
      <c r="AF60" t="str">
        <f t="shared" si="9"/>
        <v>A679071</v>
      </c>
      <c r="AG60" t="str">
        <f>VLOOKUP(AF60,AKT!$C$4:$E$324,3,FALSE)</f>
        <v>0942</v>
      </c>
    </row>
    <row r="61" spans="1:33">
      <c r="A61" s="69"/>
      <c r="B61" s="64" t="str">
        <f t="shared" si="0"/>
        <v/>
      </c>
      <c r="C61" s="69"/>
      <c r="D61" s="64" t="str">
        <f t="shared" si="1"/>
        <v/>
      </c>
      <c r="E61" s="102"/>
      <c r="F61" s="64" t="str">
        <f t="shared" si="10"/>
        <v/>
      </c>
      <c r="G61" s="64" t="str">
        <f t="shared" si="3"/>
        <v/>
      </c>
      <c r="H61" s="101"/>
      <c r="I61" s="101"/>
      <c r="J61" s="101"/>
      <c r="K61" s="112"/>
      <c r="L61" s="111"/>
      <c r="M61" s="111"/>
      <c r="N61" s="112"/>
      <c r="O61" s="235"/>
      <c r="P61" s="68"/>
      <c r="R61" t="str">
        <f t="shared" si="4"/>
        <v/>
      </c>
      <c r="S61" t="str">
        <f t="shared" si="5"/>
        <v/>
      </c>
      <c r="T61" t="str">
        <f t="shared" si="6"/>
        <v/>
      </c>
      <c r="X61">
        <v>3713</v>
      </c>
      <c r="Y61" t="s">
        <v>840</v>
      </c>
      <c r="AA61" t="str">
        <f t="shared" si="7"/>
        <v>37</v>
      </c>
      <c r="AB61" t="str">
        <f t="shared" si="8"/>
        <v>371</v>
      </c>
      <c r="AD61" t="s">
        <v>1519</v>
      </c>
      <c r="AE61" t="s">
        <v>1520</v>
      </c>
      <c r="AF61" t="str">
        <f t="shared" si="9"/>
        <v>A679071</v>
      </c>
      <c r="AG61" t="str">
        <f>VLOOKUP(AF61,AKT!$C$4:$E$324,3,FALSE)</f>
        <v>0942</v>
      </c>
    </row>
    <row r="62" spans="1:33">
      <c r="A62" s="69"/>
      <c r="B62" s="64" t="str">
        <f t="shared" si="0"/>
        <v/>
      </c>
      <c r="C62" s="69"/>
      <c r="D62" s="64" t="str">
        <f t="shared" si="1"/>
        <v/>
      </c>
      <c r="E62" s="102"/>
      <c r="F62" s="64" t="str">
        <f t="shared" si="10"/>
        <v/>
      </c>
      <c r="G62" s="64" t="str">
        <f t="shared" si="3"/>
        <v/>
      </c>
      <c r="H62" s="101"/>
      <c r="I62" s="101"/>
      <c r="J62" s="101"/>
      <c r="K62" s="112"/>
      <c r="L62" s="111"/>
      <c r="M62" s="111"/>
      <c r="N62" s="112"/>
      <c r="O62" s="235"/>
      <c r="P62" s="68"/>
      <c r="R62" t="str">
        <f t="shared" si="4"/>
        <v/>
      </c>
      <c r="S62" t="str">
        <f t="shared" si="5"/>
        <v/>
      </c>
      <c r="T62" t="str">
        <f t="shared" si="6"/>
        <v/>
      </c>
      <c r="X62">
        <v>3714</v>
      </c>
      <c r="Y62" t="s">
        <v>843</v>
      </c>
      <c r="AA62" t="str">
        <f t="shared" si="7"/>
        <v>37</v>
      </c>
      <c r="AB62" t="str">
        <f t="shared" si="8"/>
        <v>371</v>
      </c>
      <c r="AD62" t="s">
        <v>1521</v>
      </c>
      <c r="AE62" t="s">
        <v>1522</v>
      </c>
      <c r="AF62" t="str">
        <f t="shared" si="9"/>
        <v>A679071</v>
      </c>
      <c r="AG62" t="str">
        <f>VLOOKUP(AF62,AKT!$C$4:$E$324,3,FALSE)</f>
        <v>0942</v>
      </c>
    </row>
    <row r="63" spans="1:33">
      <c r="A63" s="69"/>
      <c r="B63" s="64" t="str">
        <f t="shared" si="0"/>
        <v/>
      </c>
      <c r="C63" s="69"/>
      <c r="D63" s="64" t="str">
        <f t="shared" si="1"/>
        <v/>
      </c>
      <c r="E63" s="102"/>
      <c r="F63" s="64" t="str">
        <f t="shared" si="10"/>
        <v/>
      </c>
      <c r="G63" s="64" t="str">
        <f t="shared" si="3"/>
        <v/>
      </c>
      <c r="H63" s="101"/>
      <c r="I63" s="101"/>
      <c r="J63" s="101"/>
      <c r="K63" s="112"/>
      <c r="L63" s="111"/>
      <c r="M63" s="111"/>
      <c r="N63" s="112"/>
      <c r="O63" s="235"/>
      <c r="P63" s="68"/>
      <c r="R63" t="str">
        <f t="shared" ref="R63:R126" si="11">LEFT(C63,3)</f>
        <v/>
      </c>
      <c r="S63" t="str">
        <f t="shared" ref="S63:S126" si="12">LEFT(C63,2)</f>
        <v/>
      </c>
      <c r="T63" t="str">
        <f t="shared" ref="T63:T126" si="13">MID(G63,2,2)</f>
        <v/>
      </c>
      <c r="X63">
        <v>3715</v>
      </c>
      <c r="Y63" t="s">
        <v>846</v>
      </c>
      <c r="AA63" t="str">
        <f t="shared" si="7"/>
        <v>37</v>
      </c>
      <c r="AB63" t="str">
        <f t="shared" si="8"/>
        <v>371</v>
      </c>
      <c r="AD63" t="s">
        <v>1523</v>
      </c>
      <c r="AE63" t="s">
        <v>1524</v>
      </c>
      <c r="AF63" t="str">
        <f t="shared" si="9"/>
        <v>A679071</v>
      </c>
      <c r="AG63" t="str">
        <f>VLOOKUP(AF63,AKT!$C$4:$E$324,3,FALSE)</f>
        <v>0942</v>
      </c>
    </row>
    <row r="64" spans="1:33">
      <c r="A64" s="69"/>
      <c r="B64" s="64" t="str">
        <f t="shared" si="0"/>
        <v/>
      </c>
      <c r="C64" s="69"/>
      <c r="D64" s="64" t="str">
        <f t="shared" si="1"/>
        <v/>
      </c>
      <c r="E64" s="102"/>
      <c r="F64" s="64" t="str">
        <f t="shared" si="10"/>
        <v/>
      </c>
      <c r="G64" s="64" t="str">
        <f t="shared" si="3"/>
        <v/>
      </c>
      <c r="H64" s="101"/>
      <c r="I64" s="101"/>
      <c r="J64" s="101"/>
      <c r="K64" s="112"/>
      <c r="L64" s="111"/>
      <c r="M64" s="111"/>
      <c r="N64" s="112"/>
      <c r="O64" s="235"/>
      <c r="P64" s="68"/>
      <c r="R64" t="str">
        <f t="shared" si="11"/>
        <v/>
      </c>
      <c r="S64" t="str">
        <f t="shared" si="12"/>
        <v/>
      </c>
      <c r="T64" t="str">
        <f t="shared" si="13"/>
        <v/>
      </c>
      <c r="X64">
        <v>3721</v>
      </c>
      <c r="Y64" t="s">
        <v>849</v>
      </c>
      <c r="AA64" t="str">
        <f t="shared" ref="AA64:AA124" si="14">LEFT(X64,2)</f>
        <v>37</v>
      </c>
      <c r="AB64" t="str">
        <f t="shared" si="8"/>
        <v>372</v>
      </c>
      <c r="AD64" t="s">
        <v>1525</v>
      </c>
      <c r="AE64" t="s">
        <v>1526</v>
      </c>
      <c r="AF64" t="str">
        <f t="shared" si="9"/>
        <v>A679071</v>
      </c>
      <c r="AG64" t="str">
        <f>VLOOKUP(AF64,AKT!$C$4:$E$324,3,FALSE)</f>
        <v>0942</v>
      </c>
    </row>
    <row r="65" spans="1:33">
      <c r="A65" s="69"/>
      <c r="B65" s="64" t="str">
        <f t="shared" si="0"/>
        <v/>
      </c>
      <c r="C65" s="69"/>
      <c r="D65" s="64" t="str">
        <f t="shared" si="1"/>
        <v/>
      </c>
      <c r="E65" s="102"/>
      <c r="F65" s="64" t="str">
        <f t="shared" si="10"/>
        <v/>
      </c>
      <c r="G65" s="64" t="str">
        <f t="shared" si="3"/>
        <v/>
      </c>
      <c r="H65" s="101"/>
      <c r="I65" s="101"/>
      <c r="J65" s="101"/>
      <c r="K65" s="112"/>
      <c r="L65" s="111"/>
      <c r="M65" s="111"/>
      <c r="N65" s="112"/>
      <c r="O65" s="235"/>
      <c r="P65" s="68"/>
      <c r="R65" t="str">
        <f t="shared" si="11"/>
        <v/>
      </c>
      <c r="S65" t="str">
        <f t="shared" si="12"/>
        <v/>
      </c>
      <c r="T65" t="str">
        <f t="shared" si="13"/>
        <v/>
      </c>
      <c r="X65">
        <v>3722</v>
      </c>
      <c r="Y65" t="s">
        <v>852</v>
      </c>
      <c r="AA65" t="str">
        <f t="shared" si="14"/>
        <v>37</v>
      </c>
      <c r="AB65" t="str">
        <f t="shared" ref="AB65:AB124" si="15">LEFT(X65,3)</f>
        <v>372</v>
      </c>
      <c r="AD65" t="s">
        <v>1527</v>
      </c>
      <c r="AE65" t="s">
        <v>1528</v>
      </c>
      <c r="AF65" t="str">
        <f t="shared" si="9"/>
        <v>A679071</v>
      </c>
      <c r="AG65" t="str">
        <f>VLOOKUP(AF65,AKT!$C$4:$E$324,3,FALSE)</f>
        <v>0942</v>
      </c>
    </row>
    <row r="66" spans="1:33">
      <c r="A66" s="69"/>
      <c r="B66" s="64" t="str">
        <f t="shared" si="0"/>
        <v/>
      </c>
      <c r="C66" s="69"/>
      <c r="D66" s="64" t="str">
        <f t="shared" si="1"/>
        <v/>
      </c>
      <c r="E66" s="102"/>
      <c r="F66" s="64" t="str">
        <f t="shared" si="10"/>
        <v/>
      </c>
      <c r="G66" s="64" t="str">
        <f t="shared" si="3"/>
        <v/>
      </c>
      <c r="H66" s="101"/>
      <c r="I66" s="101"/>
      <c r="J66" s="101"/>
      <c r="K66" s="112"/>
      <c r="L66" s="111"/>
      <c r="M66" s="111"/>
      <c r="N66" s="112"/>
      <c r="O66" s="235"/>
      <c r="P66" s="68"/>
      <c r="R66" t="str">
        <f t="shared" si="11"/>
        <v/>
      </c>
      <c r="S66" t="str">
        <f t="shared" si="12"/>
        <v/>
      </c>
      <c r="T66" t="str">
        <f t="shared" si="13"/>
        <v/>
      </c>
      <c r="X66">
        <v>3723</v>
      </c>
      <c r="Y66" t="s">
        <v>855</v>
      </c>
      <c r="AA66" t="str">
        <f t="shared" si="14"/>
        <v>37</v>
      </c>
      <c r="AB66" t="str">
        <f t="shared" si="15"/>
        <v>372</v>
      </c>
      <c r="AD66" t="s">
        <v>1529</v>
      </c>
      <c r="AE66" t="s">
        <v>1530</v>
      </c>
      <c r="AF66" t="str">
        <f t="shared" si="9"/>
        <v>A679071</v>
      </c>
      <c r="AG66" t="str">
        <f>VLOOKUP(AF66,AKT!$C$4:$E$324,3,FALSE)</f>
        <v>0942</v>
      </c>
    </row>
    <row r="67" spans="1:33">
      <c r="A67" s="69"/>
      <c r="B67" s="64" t="str">
        <f t="shared" ref="B67:B130" si="16">IFERROR(VLOOKUP(A67,$U$6:$V$23,2,FALSE),"")</f>
        <v/>
      </c>
      <c r="C67" s="69"/>
      <c r="D67" s="64" t="str">
        <f t="shared" ref="D67:D130" si="17">IFERROR(VLOOKUP(C67,$X$5:$Z$124,2,FALSE),"")</f>
        <v/>
      </c>
      <c r="E67" s="102"/>
      <c r="F67" s="64" t="str">
        <f t="shared" si="10"/>
        <v/>
      </c>
      <c r="G67" s="64" t="str">
        <f t="shared" ref="G67:G130" si="18">IFERROR(VLOOKUP(E67,$AD$6:$AG$1085,4,FALSE),"")</f>
        <v/>
      </c>
      <c r="H67" s="101"/>
      <c r="I67" s="101"/>
      <c r="J67" s="101"/>
      <c r="K67" s="112"/>
      <c r="L67" s="111"/>
      <c r="M67" s="111"/>
      <c r="N67" s="112"/>
      <c r="O67" s="235"/>
      <c r="P67" s="68"/>
      <c r="R67" t="str">
        <f t="shared" si="11"/>
        <v/>
      </c>
      <c r="S67" t="str">
        <f t="shared" si="12"/>
        <v/>
      </c>
      <c r="T67" t="str">
        <f t="shared" si="13"/>
        <v/>
      </c>
      <c r="X67">
        <v>3811</v>
      </c>
      <c r="Y67" t="s">
        <v>858</v>
      </c>
      <c r="AA67" t="str">
        <f t="shared" si="14"/>
        <v>38</v>
      </c>
      <c r="AB67" t="str">
        <f t="shared" si="15"/>
        <v>381</v>
      </c>
      <c r="AD67" t="s">
        <v>1531</v>
      </c>
      <c r="AE67" t="s">
        <v>1532</v>
      </c>
      <c r="AF67" t="str">
        <f t="shared" ref="AF67:AF130" si="19">LEFT(AD67,7)</f>
        <v>A679071</v>
      </c>
      <c r="AG67" t="str">
        <f>VLOOKUP(AF67,AKT!$C$4:$E$324,3,FALSE)</f>
        <v>0942</v>
      </c>
    </row>
    <row r="68" spans="1:33">
      <c r="A68" s="69"/>
      <c r="B68" s="64" t="str">
        <f t="shared" si="16"/>
        <v/>
      </c>
      <c r="C68" s="69"/>
      <c r="D68" s="64" t="str">
        <f t="shared" si="17"/>
        <v/>
      </c>
      <c r="E68" s="102"/>
      <c r="F68" s="64" t="str">
        <f t="shared" si="10"/>
        <v/>
      </c>
      <c r="G68" s="64" t="str">
        <f t="shared" si="18"/>
        <v/>
      </c>
      <c r="H68" s="101"/>
      <c r="I68" s="101"/>
      <c r="J68" s="101"/>
      <c r="K68" s="112"/>
      <c r="L68" s="111"/>
      <c r="M68" s="111"/>
      <c r="N68" s="112"/>
      <c r="O68" s="235"/>
      <c r="P68" s="68"/>
      <c r="R68" t="str">
        <f t="shared" si="11"/>
        <v/>
      </c>
      <c r="S68" t="str">
        <f t="shared" si="12"/>
        <v/>
      </c>
      <c r="T68" t="str">
        <f t="shared" si="13"/>
        <v/>
      </c>
      <c r="X68">
        <v>3812</v>
      </c>
      <c r="Y68" t="s">
        <v>861</v>
      </c>
      <c r="AA68" t="str">
        <f t="shared" si="14"/>
        <v>38</v>
      </c>
      <c r="AB68" t="str">
        <f t="shared" si="15"/>
        <v>381</v>
      </c>
      <c r="AD68" t="s">
        <v>1533</v>
      </c>
      <c r="AE68" t="s">
        <v>1534</v>
      </c>
      <c r="AF68" t="str">
        <f t="shared" si="19"/>
        <v>A679071</v>
      </c>
      <c r="AG68" t="str">
        <f>VLOOKUP(AF68,AKT!$C$4:$E$324,3,FALSE)</f>
        <v>0942</v>
      </c>
    </row>
    <row r="69" spans="1:33">
      <c r="A69" s="69"/>
      <c r="B69" s="64" t="str">
        <f t="shared" si="16"/>
        <v/>
      </c>
      <c r="C69" s="69"/>
      <c r="D69" s="64" t="str">
        <f t="shared" si="17"/>
        <v/>
      </c>
      <c r="E69" s="102"/>
      <c r="F69" s="64" t="str">
        <f t="shared" si="10"/>
        <v/>
      </c>
      <c r="G69" s="64" t="str">
        <f t="shared" si="18"/>
        <v/>
      </c>
      <c r="H69" s="101"/>
      <c r="I69" s="101"/>
      <c r="J69" s="101"/>
      <c r="K69" s="112"/>
      <c r="L69" s="111"/>
      <c r="M69" s="111"/>
      <c r="N69" s="112"/>
      <c r="O69" s="235"/>
      <c r="P69" s="68"/>
      <c r="R69" t="str">
        <f t="shared" si="11"/>
        <v/>
      </c>
      <c r="S69" t="str">
        <f t="shared" si="12"/>
        <v/>
      </c>
      <c r="T69" t="str">
        <f t="shared" si="13"/>
        <v/>
      </c>
      <c r="X69">
        <v>3813</v>
      </c>
      <c r="Y69" t="s">
        <v>864</v>
      </c>
      <c r="AA69" t="str">
        <f t="shared" si="14"/>
        <v>38</v>
      </c>
      <c r="AB69" t="str">
        <f t="shared" si="15"/>
        <v>381</v>
      </c>
      <c r="AD69" t="s">
        <v>1535</v>
      </c>
      <c r="AE69" t="s">
        <v>1536</v>
      </c>
      <c r="AF69" t="str">
        <f t="shared" si="19"/>
        <v>A679071</v>
      </c>
      <c r="AG69" t="str">
        <f>VLOOKUP(AF69,AKT!$C$4:$E$324,3,FALSE)</f>
        <v>0942</v>
      </c>
    </row>
    <row r="70" spans="1:33">
      <c r="A70" s="69"/>
      <c r="B70" s="64" t="str">
        <f t="shared" si="16"/>
        <v/>
      </c>
      <c r="C70" s="69"/>
      <c r="D70" s="64" t="str">
        <f t="shared" si="17"/>
        <v/>
      </c>
      <c r="E70" s="102"/>
      <c r="F70" s="64" t="str">
        <f t="shared" si="10"/>
        <v/>
      </c>
      <c r="G70" s="64" t="str">
        <f t="shared" si="18"/>
        <v/>
      </c>
      <c r="H70" s="101"/>
      <c r="I70" s="101"/>
      <c r="J70" s="101"/>
      <c r="K70" s="112"/>
      <c r="L70" s="111"/>
      <c r="M70" s="111"/>
      <c r="N70" s="112"/>
      <c r="O70" s="235"/>
      <c r="P70" s="68"/>
      <c r="R70" t="str">
        <f t="shared" si="11"/>
        <v/>
      </c>
      <c r="S70" t="str">
        <f t="shared" si="12"/>
        <v/>
      </c>
      <c r="T70" t="str">
        <f t="shared" si="13"/>
        <v/>
      </c>
      <c r="X70">
        <v>3821</v>
      </c>
      <c r="Y70" t="s">
        <v>867</v>
      </c>
      <c r="AA70" t="str">
        <f t="shared" si="14"/>
        <v>38</v>
      </c>
      <c r="AB70" t="str">
        <f t="shared" si="15"/>
        <v>382</v>
      </c>
      <c r="AD70" t="s">
        <v>1537</v>
      </c>
      <c r="AE70" t="s">
        <v>1538</v>
      </c>
      <c r="AF70" t="str">
        <f t="shared" si="19"/>
        <v>A679071</v>
      </c>
      <c r="AG70" t="str">
        <f>VLOOKUP(AF70,AKT!$C$4:$E$324,3,FALSE)</f>
        <v>0942</v>
      </c>
    </row>
    <row r="71" spans="1:33">
      <c r="A71" s="69"/>
      <c r="B71" s="64" t="str">
        <f t="shared" si="16"/>
        <v/>
      </c>
      <c r="C71" s="69"/>
      <c r="D71" s="64" t="str">
        <f t="shared" si="17"/>
        <v/>
      </c>
      <c r="E71" s="102"/>
      <c r="F71" s="64" t="str">
        <f t="shared" si="10"/>
        <v/>
      </c>
      <c r="G71" s="64" t="str">
        <f t="shared" si="18"/>
        <v/>
      </c>
      <c r="H71" s="101"/>
      <c r="I71" s="101"/>
      <c r="J71" s="101"/>
      <c r="K71" s="112"/>
      <c r="L71" s="111"/>
      <c r="M71" s="111"/>
      <c r="N71" s="112"/>
      <c r="O71" s="235"/>
      <c r="P71" s="68"/>
      <c r="R71" t="str">
        <f t="shared" si="11"/>
        <v/>
      </c>
      <c r="S71" t="str">
        <f t="shared" si="12"/>
        <v/>
      </c>
      <c r="T71" t="str">
        <f t="shared" si="13"/>
        <v/>
      </c>
      <c r="X71">
        <v>3831</v>
      </c>
      <c r="Y71" t="s">
        <v>870</v>
      </c>
      <c r="AA71" t="str">
        <f t="shared" si="14"/>
        <v>38</v>
      </c>
      <c r="AB71" t="str">
        <f t="shared" si="15"/>
        <v>383</v>
      </c>
      <c r="AD71" t="s">
        <v>1539</v>
      </c>
      <c r="AE71" t="s">
        <v>1540</v>
      </c>
      <c r="AF71" t="str">
        <f t="shared" si="19"/>
        <v>A679071</v>
      </c>
      <c r="AG71" t="str">
        <f>VLOOKUP(AF71,AKT!$C$4:$E$324,3,FALSE)</f>
        <v>0942</v>
      </c>
    </row>
    <row r="72" spans="1:33">
      <c r="A72" s="69"/>
      <c r="B72" s="64" t="str">
        <f t="shared" si="16"/>
        <v/>
      </c>
      <c r="C72" s="69"/>
      <c r="D72" s="64" t="str">
        <f t="shared" si="17"/>
        <v/>
      </c>
      <c r="E72" s="102"/>
      <c r="F72" s="64" t="str">
        <f t="shared" si="10"/>
        <v/>
      </c>
      <c r="G72" s="64" t="str">
        <f t="shared" si="18"/>
        <v/>
      </c>
      <c r="H72" s="101"/>
      <c r="I72" s="101"/>
      <c r="J72" s="101"/>
      <c r="K72" s="112"/>
      <c r="L72" s="111"/>
      <c r="M72" s="111"/>
      <c r="N72" s="112"/>
      <c r="O72" s="235"/>
      <c r="P72" s="68"/>
      <c r="R72" t="str">
        <f t="shared" si="11"/>
        <v/>
      </c>
      <c r="S72" t="str">
        <f t="shared" si="12"/>
        <v/>
      </c>
      <c r="T72" t="str">
        <f t="shared" si="13"/>
        <v/>
      </c>
      <c r="X72">
        <v>3832</v>
      </c>
      <c r="Y72" t="s">
        <v>873</v>
      </c>
      <c r="AA72" t="str">
        <f t="shared" si="14"/>
        <v>38</v>
      </c>
      <c r="AB72" t="str">
        <f t="shared" si="15"/>
        <v>383</v>
      </c>
      <c r="AD72" t="s">
        <v>1541</v>
      </c>
      <c r="AE72" t="s">
        <v>1542</v>
      </c>
      <c r="AF72" t="str">
        <f t="shared" si="19"/>
        <v>A679071</v>
      </c>
      <c r="AG72" t="str">
        <f>VLOOKUP(AF72,AKT!$C$4:$E$324,3,FALSE)</f>
        <v>0942</v>
      </c>
    </row>
    <row r="73" spans="1:33">
      <c r="A73" s="69"/>
      <c r="B73" s="64" t="str">
        <f t="shared" si="16"/>
        <v/>
      </c>
      <c r="C73" s="69"/>
      <c r="D73" s="64" t="str">
        <f t="shared" si="17"/>
        <v/>
      </c>
      <c r="E73" s="102"/>
      <c r="F73" s="64" t="str">
        <f t="shared" si="10"/>
        <v/>
      </c>
      <c r="G73" s="64" t="str">
        <f t="shared" si="18"/>
        <v/>
      </c>
      <c r="H73" s="101"/>
      <c r="I73" s="101"/>
      <c r="J73" s="101"/>
      <c r="K73" s="112"/>
      <c r="L73" s="111"/>
      <c r="M73" s="111"/>
      <c r="N73" s="112"/>
      <c r="O73" s="235"/>
      <c r="P73" s="68"/>
      <c r="R73" t="str">
        <f t="shared" si="11"/>
        <v/>
      </c>
      <c r="S73" t="str">
        <f t="shared" si="12"/>
        <v/>
      </c>
      <c r="T73" t="str">
        <f t="shared" si="13"/>
        <v/>
      </c>
      <c r="X73">
        <v>3833</v>
      </c>
      <c r="Y73" t="s">
        <v>876</v>
      </c>
      <c r="AA73" t="str">
        <f t="shared" si="14"/>
        <v>38</v>
      </c>
      <c r="AB73" t="str">
        <f t="shared" si="15"/>
        <v>383</v>
      </c>
      <c r="AD73" t="s">
        <v>1543</v>
      </c>
      <c r="AE73" t="s">
        <v>1544</v>
      </c>
      <c r="AF73" t="str">
        <f t="shared" si="19"/>
        <v>A679071</v>
      </c>
      <c r="AG73" t="str">
        <f>VLOOKUP(AF73,AKT!$C$4:$E$324,3,FALSE)</f>
        <v>0942</v>
      </c>
    </row>
    <row r="74" spans="1:33">
      <c r="A74" s="69"/>
      <c r="B74" s="64" t="str">
        <f t="shared" si="16"/>
        <v/>
      </c>
      <c r="C74" s="69"/>
      <c r="D74" s="64" t="str">
        <f t="shared" si="17"/>
        <v/>
      </c>
      <c r="E74" s="102"/>
      <c r="F74" s="64" t="str">
        <f t="shared" si="10"/>
        <v/>
      </c>
      <c r="G74" s="64" t="str">
        <f t="shared" si="18"/>
        <v/>
      </c>
      <c r="H74" s="101"/>
      <c r="I74" s="101"/>
      <c r="J74" s="101"/>
      <c r="K74" s="112"/>
      <c r="L74" s="111"/>
      <c r="M74" s="111"/>
      <c r="N74" s="112"/>
      <c r="O74" s="235"/>
      <c r="P74" s="68"/>
      <c r="R74" t="str">
        <f t="shared" si="11"/>
        <v/>
      </c>
      <c r="S74" t="str">
        <f t="shared" si="12"/>
        <v/>
      </c>
      <c r="T74" t="str">
        <f t="shared" si="13"/>
        <v/>
      </c>
      <c r="X74">
        <v>3834</v>
      </c>
      <c r="Y74" t="s">
        <v>879</v>
      </c>
      <c r="AA74" t="str">
        <f t="shared" si="14"/>
        <v>38</v>
      </c>
      <c r="AB74" t="str">
        <f t="shared" si="15"/>
        <v>383</v>
      </c>
      <c r="AD74" t="s">
        <v>1545</v>
      </c>
      <c r="AE74" t="s">
        <v>1546</v>
      </c>
      <c r="AF74" t="str">
        <f t="shared" si="19"/>
        <v>A679071</v>
      </c>
      <c r="AG74" t="str">
        <f>VLOOKUP(AF74,AKT!$C$4:$E$324,3,FALSE)</f>
        <v>0942</v>
      </c>
    </row>
    <row r="75" spans="1:33">
      <c r="A75" s="69"/>
      <c r="B75" s="64" t="str">
        <f t="shared" si="16"/>
        <v/>
      </c>
      <c r="C75" s="69"/>
      <c r="D75" s="64" t="str">
        <f t="shared" si="17"/>
        <v/>
      </c>
      <c r="E75" s="102"/>
      <c r="F75" s="64" t="str">
        <f t="shared" si="10"/>
        <v/>
      </c>
      <c r="G75" s="64" t="str">
        <f t="shared" si="18"/>
        <v/>
      </c>
      <c r="H75" s="101"/>
      <c r="I75" s="101"/>
      <c r="J75" s="101"/>
      <c r="K75" s="112"/>
      <c r="L75" s="111"/>
      <c r="M75" s="111"/>
      <c r="N75" s="112"/>
      <c r="O75" s="235"/>
      <c r="P75" s="68"/>
      <c r="R75" t="str">
        <f t="shared" si="11"/>
        <v/>
      </c>
      <c r="S75" t="str">
        <f t="shared" si="12"/>
        <v/>
      </c>
      <c r="T75" t="str">
        <f t="shared" si="13"/>
        <v/>
      </c>
      <c r="X75">
        <v>3835</v>
      </c>
      <c r="Y75" t="s">
        <v>882</v>
      </c>
      <c r="AA75" t="str">
        <f t="shared" si="14"/>
        <v>38</v>
      </c>
      <c r="AB75" t="str">
        <f t="shared" si="15"/>
        <v>383</v>
      </c>
      <c r="AD75" t="s">
        <v>1547</v>
      </c>
      <c r="AE75" t="s">
        <v>1548</v>
      </c>
      <c r="AF75" t="str">
        <f t="shared" si="19"/>
        <v>A679071</v>
      </c>
      <c r="AG75" t="str">
        <f>VLOOKUP(AF75,AKT!$C$4:$E$324,3,FALSE)</f>
        <v>0942</v>
      </c>
    </row>
    <row r="76" spans="1:33">
      <c r="A76" s="69"/>
      <c r="B76" s="64" t="str">
        <f t="shared" si="16"/>
        <v/>
      </c>
      <c r="C76" s="69"/>
      <c r="D76" s="64" t="str">
        <f t="shared" si="17"/>
        <v/>
      </c>
      <c r="E76" s="102"/>
      <c r="F76" s="64" t="str">
        <f t="shared" si="10"/>
        <v/>
      </c>
      <c r="G76" s="64" t="str">
        <f t="shared" si="18"/>
        <v/>
      </c>
      <c r="H76" s="101"/>
      <c r="I76" s="101"/>
      <c r="J76" s="101"/>
      <c r="K76" s="112"/>
      <c r="L76" s="111"/>
      <c r="M76" s="111"/>
      <c r="N76" s="112"/>
      <c r="O76" s="235"/>
      <c r="P76" s="68"/>
      <c r="R76" t="str">
        <f t="shared" si="11"/>
        <v/>
      </c>
      <c r="S76" t="str">
        <f t="shared" si="12"/>
        <v/>
      </c>
      <c r="T76" t="str">
        <f t="shared" si="13"/>
        <v/>
      </c>
      <c r="X76">
        <v>3861</v>
      </c>
      <c r="Y76" s="110" t="s">
        <v>885</v>
      </c>
      <c r="AA76" t="str">
        <f t="shared" si="14"/>
        <v>38</v>
      </c>
      <c r="AB76" t="str">
        <f t="shared" si="15"/>
        <v>386</v>
      </c>
      <c r="AD76" t="s">
        <v>1549</v>
      </c>
      <c r="AE76" t="s">
        <v>1550</v>
      </c>
      <c r="AF76" t="str">
        <f t="shared" si="19"/>
        <v>A679071</v>
      </c>
      <c r="AG76" t="str">
        <f>VLOOKUP(AF76,AKT!$C$4:$E$324,3,FALSE)</f>
        <v>0942</v>
      </c>
    </row>
    <row r="77" spans="1:33">
      <c r="A77" s="69"/>
      <c r="B77" s="64" t="str">
        <f t="shared" si="16"/>
        <v/>
      </c>
      <c r="C77" s="69"/>
      <c r="D77" s="64" t="str">
        <f t="shared" si="17"/>
        <v/>
      </c>
      <c r="E77" s="102"/>
      <c r="F77" s="64" t="str">
        <f t="shared" si="10"/>
        <v/>
      </c>
      <c r="G77" s="64" t="str">
        <f t="shared" si="18"/>
        <v/>
      </c>
      <c r="H77" s="101"/>
      <c r="I77" s="101"/>
      <c r="J77" s="101"/>
      <c r="K77" s="112"/>
      <c r="L77" s="111"/>
      <c r="M77" s="111"/>
      <c r="N77" s="112"/>
      <c r="O77" s="235"/>
      <c r="P77" s="68"/>
      <c r="R77" t="str">
        <f t="shared" si="11"/>
        <v/>
      </c>
      <c r="S77" t="str">
        <f t="shared" si="12"/>
        <v/>
      </c>
      <c r="T77" t="str">
        <f t="shared" si="13"/>
        <v/>
      </c>
      <c r="X77">
        <v>3862</v>
      </c>
      <c r="Y77" t="s">
        <v>888</v>
      </c>
      <c r="AA77" t="str">
        <f t="shared" si="14"/>
        <v>38</v>
      </c>
      <c r="AB77" t="str">
        <f t="shared" si="15"/>
        <v>386</v>
      </c>
      <c r="AD77" t="s">
        <v>1551</v>
      </c>
      <c r="AE77" t="s">
        <v>1552</v>
      </c>
      <c r="AF77" t="str">
        <f t="shared" si="19"/>
        <v>A679071</v>
      </c>
      <c r="AG77" t="str">
        <f>VLOOKUP(AF77,AKT!$C$4:$E$324,3,FALSE)</f>
        <v>0942</v>
      </c>
    </row>
    <row r="78" spans="1:33">
      <c r="A78" s="69"/>
      <c r="B78" s="64" t="str">
        <f t="shared" si="16"/>
        <v/>
      </c>
      <c r="C78" s="69"/>
      <c r="D78" s="64" t="str">
        <f t="shared" si="17"/>
        <v/>
      </c>
      <c r="E78" s="102"/>
      <c r="F78" s="64" t="str">
        <f t="shared" si="10"/>
        <v/>
      </c>
      <c r="G78" s="64" t="str">
        <f t="shared" si="18"/>
        <v/>
      </c>
      <c r="H78" s="101"/>
      <c r="I78" s="101"/>
      <c r="J78" s="101"/>
      <c r="K78" s="112"/>
      <c r="L78" s="111"/>
      <c r="M78" s="111"/>
      <c r="N78" s="112"/>
      <c r="O78" s="235"/>
      <c r="P78" s="68"/>
      <c r="R78" t="str">
        <f t="shared" si="11"/>
        <v/>
      </c>
      <c r="S78" t="str">
        <f t="shared" si="12"/>
        <v/>
      </c>
      <c r="T78" t="str">
        <f t="shared" si="13"/>
        <v/>
      </c>
      <c r="X78">
        <v>3863</v>
      </c>
      <c r="Y78" t="s">
        <v>891</v>
      </c>
      <c r="AA78" t="str">
        <f t="shared" si="14"/>
        <v>38</v>
      </c>
      <c r="AB78" t="str">
        <f t="shared" si="15"/>
        <v>386</v>
      </c>
      <c r="AD78" t="s">
        <v>1553</v>
      </c>
      <c r="AE78" t="s">
        <v>1554</v>
      </c>
      <c r="AF78" t="str">
        <f t="shared" si="19"/>
        <v>A679071</v>
      </c>
      <c r="AG78" t="str">
        <f>VLOOKUP(AF78,AKT!$C$4:$E$324,3,FALSE)</f>
        <v>0942</v>
      </c>
    </row>
    <row r="79" spans="1:33">
      <c r="A79" s="69"/>
      <c r="B79" s="64" t="str">
        <f t="shared" si="16"/>
        <v/>
      </c>
      <c r="C79" s="69"/>
      <c r="D79" s="64" t="str">
        <f t="shared" si="17"/>
        <v/>
      </c>
      <c r="E79" s="102"/>
      <c r="F79" s="64" t="str">
        <f t="shared" si="10"/>
        <v/>
      </c>
      <c r="G79" s="64" t="str">
        <f t="shared" si="18"/>
        <v/>
      </c>
      <c r="H79" s="101"/>
      <c r="I79" s="101"/>
      <c r="J79" s="101"/>
      <c r="K79" s="112"/>
      <c r="L79" s="111"/>
      <c r="M79" s="111"/>
      <c r="N79" s="112"/>
      <c r="O79" s="235"/>
      <c r="P79" s="68"/>
      <c r="R79" t="str">
        <f t="shared" si="11"/>
        <v/>
      </c>
      <c r="S79" t="str">
        <f t="shared" si="12"/>
        <v/>
      </c>
      <c r="T79" t="str">
        <f t="shared" si="13"/>
        <v/>
      </c>
      <c r="X79">
        <v>4111</v>
      </c>
      <c r="Y79" t="s">
        <v>894</v>
      </c>
      <c r="AA79" t="str">
        <f t="shared" si="14"/>
        <v>41</v>
      </c>
      <c r="AB79" t="str">
        <f t="shared" si="15"/>
        <v>411</v>
      </c>
      <c r="AD79" t="s">
        <v>1555</v>
      </c>
      <c r="AE79" t="s">
        <v>1556</v>
      </c>
      <c r="AF79" t="str">
        <f t="shared" si="19"/>
        <v>A679071</v>
      </c>
      <c r="AG79" t="str">
        <f>VLOOKUP(AF79,AKT!$C$4:$E$324,3,FALSE)</f>
        <v>0942</v>
      </c>
    </row>
    <row r="80" spans="1:33">
      <c r="A80" s="69"/>
      <c r="B80" s="64" t="str">
        <f t="shared" si="16"/>
        <v/>
      </c>
      <c r="C80" s="69"/>
      <c r="D80" s="64" t="str">
        <f t="shared" si="17"/>
        <v/>
      </c>
      <c r="E80" s="102"/>
      <c r="F80" s="64" t="str">
        <f t="shared" si="10"/>
        <v/>
      </c>
      <c r="G80" s="64" t="str">
        <f t="shared" si="18"/>
        <v/>
      </c>
      <c r="H80" s="101"/>
      <c r="I80" s="101"/>
      <c r="J80" s="101"/>
      <c r="K80" s="112"/>
      <c r="L80" s="111"/>
      <c r="M80" s="111"/>
      <c r="N80" s="112"/>
      <c r="O80" s="235"/>
      <c r="P80" s="68"/>
      <c r="R80" t="str">
        <f t="shared" si="11"/>
        <v/>
      </c>
      <c r="S80" t="str">
        <f t="shared" si="12"/>
        <v/>
      </c>
      <c r="T80" t="str">
        <f t="shared" si="13"/>
        <v/>
      </c>
      <c r="X80">
        <v>4113</v>
      </c>
      <c r="Y80" t="s">
        <v>897</v>
      </c>
      <c r="AA80" t="str">
        <f t="shared" si="14"/>
        <v>41</v>
      </c>
      <c r="AB80" t="str">
        <f t="shared" si="15"/>
        <v>411</v>
      </c>
      <c r="AD80" t="s">
        <v>1557</v>
      </c>
      <c r="AE80" t="s">
        <v>1558</v>
      </c>
      <c r="AF80" t="str">
        <f t="shared" si="19"/>
        <v>A679071</v>
      </c>
      <c r="AG80" t="str">
        <f>VLOOKUP(AF80,AKT!$C$4:$E$324,3,FALSE)</f>
        <v>0942</v>
      </c>
    </row>
    <row r="81" spans="1:33">
      <c r="A81" s="69"/>
      <c r="B81" s="64" t="str">
        <f t="shared" si="16"/>
        <v/>
      </c>
      <c r="C81" s="69"/>
      <c r="D81" s="64" t="str">
        <f t="shared" si="17"/>
        <v/>
      </c>
      <c r="E81" s="102"/>
      <c r="F81" s="64" t="str">
        <f t="shared" si="10"/>
        <v/>
      </c>
      <c r="G81" s="64" t="str">
        <f t="shared" si="18"/>
        <v/>
      </c>
      <c r="H81" s="101"/>
      <c r="I81" s="101"/>
      <c r="J81" s="101"/>
      <c r="K81" s="112"/>
      <c r="L81" s="111"/>
      <c r="M81" s="111"/>
      <c r="N81" s="112"/>
      <c r="O81" s="235"/>
      <c r="P81" s="68"/>
      <c r="R81" t="str">
        <f t="shared" si="11"/>
        <v/>
      </c>
      <c r="S81" t="str">
        <f t="shared" si="12"/>
        <v/>
      </c>
      <c r="T81" t="str">
        <f t="shared" si="13"/>
        <v/>
      </c>
      <c r="X81">
        <v>4122</v>
      </c>
      <c r="Y81" t="s">
        <v>900</v>
      </c>
      <c r="AA81" t="str">
        <f t="shared" si="14"/>
        <v>41</v>
      </c>
      <c r="AB81" t="str">
        <f t="shared" si="15"/>
        <v>412</v>
      </c>
      <c r="AD81" t="s">
        <v>1559</v>
      </c>
      <c r="AE81" t="s">
        <v>1560</v>
      </c>
      <c r="AF81" t="str">
        <f t="shared" si="19"/>
        <v>A679071</v>
      </c>
      <c r="AG81" t="str">
        <f>VLOOKUP(AF81,AKT!$C$4:$E$324,3,FALSE)</f>
        <v>0942</v>
      </c>
    </row>
    <row r="82" spans="1:33">
      <c r="A82" s="69"/>
      <c r="B82" s="64" t="str">
        <f t="shared" si="16"/>
        <v/>
      </c>
      <c r="C82" s="69"/>
      <c r="D82" s="64" t="str">
        <f t="shared" si="17"/>
        <v/>
      </c>
      <c r="E82" s="102"/>
      <c r="F82" s="64" t="str">
        <f t="shared" si="10"/>
        <v/>
      </c>
      <c r="G82" s="64" t="str">
        <f t="shared" si="18"/>
        <v/>
      </c>
      <c r="H82" s="101"/>
      <c r="I82" s="101"/>
      <c r="J82" s="101"/>
      <c r="K82" s="112"/>
      <c r="L82" s="111"/>
      <c r="M82" s="111"/>
      <c r="N82" s="112"/>
      <c r="O82" s="235"/>
      <c r="P82" s="68"/>
      <c r="R82" t="str">
        <f t="shared" si="11"/>
        <v/>
      </c>
      <c r="S82" t="str">
        <f t="shared" si="12"/>
        <v/>
      </c>
      <c r="T82" t="str">
        <f t="shared" si="13"/>
        <v/>
      </c>
      <c r="X82">
        <v>4123</v>
      </c>
      <c r="Y82" t="s">
        <v>903</v>
      </c>
      <c r="AA82" t="str">
        <f t="shared" si="14"/>
        <v>41</v>
      </c>
      <c r="AB82" t="str">
        <f t="shared" si="15"/>
        <v>412</v>
      </c>
      <c r="AD82" t="s">
        <v>1561</v>
      </c>
      <c r="AE82" t="s">
        <v>1562</v>
      </c>
      <c r="AF82" t="str">
        <f t="shared" si="19"/>
        <v>A679071</v>
      </c>
      <c r="AG82" t="str">
        <f>VLOOKUP(AF82,AKT!$C$4:$E$324,3,FALSE)</f>
        <v>0942</v>
      </c>
    </row>
    <row r="83" spans="1:33">
      <c r="A83" s="69"/>
      <c r="B83" s="64" t="str">
        <f t="shared" si="16"/>
        <v/>
      </c>
      <c r="C83" s="69"/>
      <c r="D83" s="64" t="str">
        <f t="shared" si="17"/>
        <v/>
      </c>
      <c r="E83" s="102"/>
      <c r="F83" s="64" t="str">
        <f t="shared" si="10"/>
        <v/>
      </c>
      <c r="G83" s="64" t="str">
        <f t="shared" si="18"/>
        <v/>
      </c>
      <c r="H83" s="101"/>
      <c r="I83" s="101"/>
      <c r="J83" s="101"/>
      <c r="K83" s="112"/>
      <c r="L83" s="111"/>
      <c r="M83" s="111"/>
      <c r="N83" s="112"/>
      <c r="O83" s="235"/>
      <c r="P83" s="68"/>
      <c r="R83" t="str">
        <f t="shared" si="11"/>
        <v/>
      </c>
      <c r="S83" t="str">
        <f t="shared" si="12"/>
        <v/>
      </c>
      <c r="T83" t="str">
        <f t="shared" si="13"/>
        <v/>
      </c>
      <c r="X83">
        <v>4124</v>
      </c>
      <c r="Y83" t="s">
        <v>906</v>
      </c>
      <c r="AA83" t="str">
        <f t="shared" si="14"/>
        <v>41</v>
      </c>
      <c r="AB83" t="str">
        <f t="shared" si="15"/>
        <v>412</v>
      </c>
      <c r="AD83" t="s">
        <v>1563</v>
      </c>
      <c r="AE83" t="s">
        <v>1564</v>
      </c>
      <c r="AF83" t="str">
        <f t="shared" si="19"/>
        <v>A679071</v>
      </c>
      <c r="AG83" t="str">
        <f>VLOOKUP(AF83,AKT!$C$4:$E$324,3,FALSE)</f>
        <v>0942</v>
      </c>
    </row>
    <row r="84" spans="1:33">
      <c r="A84" s="69"/>
      <c r="B84" s="64" t="str">
        <f t="shared" si="16"/>
        <v/>
      </c>
      <c r="C84" s="69"/>
      <c r="D84" s="64" t="str">
        <f t="shared" si="17"/>
        <v/>
      </c>
      <c r="E84" s="102"/>
      <c r="F84" s="64" t="str">
        <f t="shared" si="10"/>
        <v/>
      </c>
      <c r="G84" s="64" t="str">
        <f t="shared" si="18"/>
        <v/>
      </c>
      <c r="H84" s="101"/>
      <c r="I84" s="101"/>
      <c r="J84" s="101"/>
      <c r="K84" s="112"/>
      <c r="L84" s="111"/>
      <c r="M84" s="111"/>
      <c r="N84" s="112"/>
      <c r="O84" s="235"/>
      <c r="P84" s="68"/>
      <c r="R84" t="str">
        <f t="shared" si="11"/>
        <v/>
      </c>
      <c r="S84" t="str">
        <f t="shared" si="12"/>
        <v/>
      </c>
      <c r="T84" t="str">
        <f t="shared" si="13"/>
        <v/>
      </c>
      <c r="X84">
        <v>4126</v>
      </c>
      <c r="Y84" t="s">
        <v>907</v>
      </c>
      <c r="AA84" t="str">
        <f t="shared" si="14"/>
        <v>41</v>
      </c>
      <c r="AB84" t="str">
        <f t="shared" si="15"/>
        <v>412</v>
      </c>
      <c r="AD84" t="s">
        <v>1565</v>
      </c>
      <c r="AE84" t="s">
        <v>1566</v>
      </c>
      <c r="AF84" t="str">
        <f t="shared" si="19"/>
        <v>A679071</v>
      </c>
      <c r="AG84" t="str">
        <f>VLOOKUP(AF84,AKT!$C$4:$E$324,3,FALSE)</f>
        <v>0942</v>
      </c>
    </row>
    <row r="85" spans="1:33">
      <c r="A85" s="69"/>
      <c r="B85" s="64" t="str">
        <f t="shared" si="16"/>
        <v/>
      </c>
      <c r="C85" s="69"/>
      <c r="D85" s="64" t="str">
        <f t="shared" si="17"/>
        <v/>
      </c>
      <c r="E85" s="102"/>
      <c r="F85" s="64" t="str">
        <f t="shared" si="10"/>
        <v/>
      </c>
      <c r="G85" s="64" t="str">
        <f t="shared" si="18"/>
        <v/>
      </c>
      <c r="H85" s="101"/>
      <c r="I85" s="101"/>
      <c r="J85" s="101"/>
      <c r="K85" s="112"/>
      <c r="L85" s="111"/>
      <c r="M85" s="111"/>
      <c r="N85" s="112"/>
      <c r="O85" s="235"/>
      <c r="P85" s="68"/>
      <c r="R85" t="str">
        <f t="shared" si="11"/>
        <v/>
      </c>
      <c r="S85" t="str">
        <f t="shared" si="12"/>
        <v/>
      </c>
      <c r="T85" t="str">
        <f t="shared" si="13"/>
        <v/>
      </c>
      <c r="X85">
        <v>4211</v>
      </c>
      <c r="Y85" t="s">
        <v>910</v>
      </c>
      <c r="AA85" t="str">
        <f t="shared" si="14"/>
        <v>42</v>
      </c>
      <c r="AB85" t="str">
        <f t="shared" si="15"/>
        <v>421</v>
      </c>
      <c r="AD85" t="s">
        <v>1567</v>
      </c>
      <c r="AE85" t="s">
        <v>1568</v>
      </c>
      <c r="AF85" t="str">
        <f t="shared" si="19"/>
        <v>A679071</v>
      </c>
      <c r="AG85" t="str">
        <f>VLOOKUP(AF85,AKT!$C$4:$E$324,3,FALSE)</f>
        <v>0942</v>
      </c>
    </row>
    <row r="86" spans="1:33">
      <c r="A86" s="69"/>
      <c r="B86" s="64" t="str">
        <f t="shared" si="16"/>
        <v/>
      </c>
      <c r="C86" s="69"/>
      <c r="D86" s="64" t="str">
        <f t="shared" si="17"/>
        <v/>
      </c>
      <c r="E86" s="102"/>
      <c r="F86" s="64" t="str">
        <f t="shared" si="10"/>
        <v/>
      </c>
      <c r="G86" s="64" t="str">
        <f t="shared" si="18"/>
        <v/>
      </c>
      <c r="H86" s="101"/>
      <c r="I86" s="101"/>
      <c r="J86" s="101"/>
      <c r="K86" s="112"/>
      <c r="L86" s="111"/>
      <c r="M86" s="111"/>
      <c r="N86" s="112"/>
      <c r="O86" s="235"/>
      <c r="P86" s="68"/>
      <c r="R86" t="str">
        <f t="shared" si="11"/>
        <v/>
      </c>
      <c r="S86" t="str">
        <f t="shared" si="12"/>
        <v/>
      </c>
      <c r="T86" t="str">
        <f t="shared" si="13"/>
        <v/>
      </c>
      <c r="X86">
        <v>4212</v>
      </c>
      <c r="Y86" t="s">
        <v>913</v>
      </c>
      <c r="AA86" t="str">
        <f t="shared" si="14"/>
        <v>42</v>
      </c>
      <c r="AB86" t="str">
        <f t="shared" si="15"/>
        <v>421</v>
      </c>
      <c r="AD86" t="s">
        <v>1569</v>
      </c>
      <c r="AE86" t="s">
        <v>1570</v>
      </c>
      <c r="AF86" t="str">
        <f t="shared" si="19"/>
        <v>A679071</v>
      </c>
      <c r="AG86" t="str">
        <f>VLOOKUP(AF86,AKT!$C$4:$E$324,3,FALSE)</f>
        <v>0942</v>
      </c>
    </row>
    <row r="87" spans="1:33">
      <c r="A87" s="69"/>
      <c r="B87" s="64" t="str">
        <f t="shared" si="16"/>
        <v/>
      </c>
      <c r="C87" s="69"/>
      <c r="D87" s="64" t="str">
        <f t="shared" si="17"/>
        <v/>
      </c>
      <c r="E87" s="102"/>
      <c r="F87" s="64" t="str">
        <f t="shared" si="10"/>
        <v/>
      </c>
      <c r="G87" s="64" t="str">
        <f t="shared" si="18"/>
        <v/>
      </c>
      <c r="H87" s="101"/>
      <c r="I87" s="101"/>
      <c r="J87" s="101"/>
      <c r="K87" s="112"/>
      <c r="L87" s="111"/>
      <c r="M87" s="111"/>
      <c r="N87" s="112"/>
      <c r="O87" s="235"/>
      <c r="P87" s="68"/>
      <c r="R87" t="str">
        <f t="shared" si="11"/>
        <v/>
      </c>
      <c r="S87" t="str">
        <f t="shared" si="12"/>
        <v/>
      </c>
      <c r="T87" t="str">
        <f t="shared" si="13"/>
        <v/>
      </c>
      <c r="X87">
        <v>4213</v>
      </c>
      <c r="Y87" t="s">
        <v>916</v>
      </c>
      <c r="AA87" t="str">
        <f t="shared" si="14"/>
        <v>42</v>
      </c>
      <c r="AB87" t="str">
        <f t="shared" si="15"/>
        <v>421</v>
      </c>
      <c r="AD87" t="s">
        <v>1571</v>
      </c>
      <c r="AE87" t="s">
        <v>1403</v>
      </c>
      <c r="AF87" t="str">
        <f t="shared" si="19"/>
        <v>A679071</v>
      </c>
      <c r="AG87" t="str">
        <f>VLOOKUP(AF87,AKT!$C$4:$E$324,3,FALSE)</f>
        <v>0942</v>
      </c>
    </row>
    <row r="88" spans="1:33">
      <c r="A88" s="69"/>
      <c r="B88" s="64" t="str">
        <f t="shared" si="16"/>
        <v/>
      </c>
      <c r="C88" s="69"/>
      <c r="D88" s="64" t="str">
        <f t="shared" si="17"/>
        <v/>
      </c>
      <c r="E88" s="102"/>
      <c r="F88" s="64" t="str">
        <f t="shared" si="10"/>
        <v/>
      </c>
      <c r="G88" s="64" t="str">
        <f t="shared" si="18"/>
        <v/>
      </c>
      <c r="H88" s="101"/>
      <c r="I88" s="101"/>
      <c r="J88" s="101"/>
      <c r="K88" s="112"/>
      <c r="L88" s="111"/>
      <c r="M88" s="111"/>
      <c r="N88" s="112"/>
      <c r="O88" s="235"/>
      <c r="P88" s="68"/>
      <c r="R88" t="str">
        <f t="shared" si="11"/>
        <v/>
      </c>
      <c r="S88" t="str">
        <f t="shared" si="12"/>
        <v/>
      </c>
      <c r="T88" t="str">
        <f t="shared" si="13"/>
        <v/>
      </c>
      <c r="X88">
        <v>4214</v>
      </c>
      <c r="Y88" t="s">
        <v>919</v>
      </c>
      <c r="AA88" t="str">
        <f t="shared" si="14"/>
        <v>42</v>
      </c>
      <c r="AB88" t="str">
        <f t="shared" si="15"/>
        <v>421</v>
      </c>
      <c r="AD88" t="s">
        <v>1572</v>
      </c>
      <c r="AE88" t="s">
        <v>1573</v>
      </c>
      <c r="AF88" t="str">
        <f t="shared" si="19"/>
        <v>A679072</v>
      </c>
      <c r="AG88" t="str">
        <f>VLOOKUP(AF88,AKT!$C$4:$E$324,3,FALSE)</f>
        <v>0942</v>
      </c>
    </row>
    <row r="89" spans="1:33">
      <c r="A89" s="69"/>
      <c r="B89" s="64" t="str">
        <f t="shared" si="16"/>
        <v/>
      </c>
      <c r="C89" s="69"/>
      <c r="D89" s="64" t="str">
        <f t="shared" si="17"/>
        <v/>
      </c>
      <c r="E89" s="102"/>
      <c r="F89" s="64" t="str">
        <f t="shared" si="10"/>
        <v/>
      </c>
      <c r="G89" s="64" t="str">
        <f t="shared" si="18"/>
        <v/>
      </c>
      <c r="H89" s="101"/>
      <c r="I89" s="101"/>
      <c r="J89" s="101"/>
      <c r="K89" s="112"/>
      <c r="L89" s="111"/>
      <c r="M89" s="111"/>
      <c r="N89" s="112"/>
      <c r="O89" s="235"/>
      <c r="P89" s="68"/>
      <c r="R89" t="str">
        <f t="shared" si="11"/>
        <v/>
      </c>
      <c r="S89" t="str">
        <f t="shared" si="12"/>
        <v/>
      </c>
      <c r="T89" t="str">
        <f t="shared" si="13"/>
        <v/>
      </c>
      <c r="X89">
        <v>4221</v>
      </c>
      <c r="Y89" t="s">
        <v>922</v>
      </c>
      <c r="AA89" t="str">
        <f t="shared" si="14"/>
        <v>42</v>
      </c>
      <c r="AB89" t="str">
        <f t="shared" si="15"/>
        <v>422</v>
      </c>
      <c r="AD89" t="s">
        <v>1574</v>
      </c>
      <c r="AE89" t="s">
        <v>1575</v>
      </c>
      <c r="AF89" t="str">
        <f t="shared" si="19"/>
        <v>A679072</v>
      </c>
      <c r="AG89" t="str">
        <f>VLOOKUP(AF89,AKT!$C$4:$E$324,3,FALSE)</f>
        <v>0942</v>
      </c>
    </row>
    <row r="90" spans="1:33">
      <c r="A90" s="69"/>
      <c r="B90" s="64" t="str">
        <f t="shared" si="16"/>
        <v/>
      </c>
      <c r="C90" s="69"/>
      <c r="D90" s="64" t="str">
        <f t="shared" si="17"/>
        <v/>
      </c>
      <c r="E90" s="102"/>
      <c r="F90" s="64" t="str">
        <f t="shared" si="10"/>
        <v/>
      </c>
      <c r="G90" s="64" t="str">
        <f t="shared" si="18"/>
        <v/>
      </c>
      <c r="H90" s="101"/>
      <c r="I90" s="101"/>
      <c r="J90" s="101"/>
      <c r="K90" s="112"/>
      <c r="L90" s="111"/>
      <c r="M90" s="111"/>
      <c r="N90" s="112"/>
      <c r="O90" s="235"/>
      <c r="P90" s="68"/>
      <c r="R90" t="str">
        <f t="shared" si="11"/>
        <v/>
      </c>
      <c r="S90" t="str">
        <f t="shared" si="12"/>
        <v/>
      </c>
      <c r="T90" t="str">
        <f t="shared" si="13"/>
        <v/>
      </c>
      <c r="X90">
        <v>4222</v>
      </c>
      <c r="Y90" t="s">
        <v>925</v>
      </c>
      <c r="AA90" t="str">
        <f t="shared" si="14"/>
        <v>42</v>
      </c>
      <c r="AB90" t="str">
        <f t="shared" si="15"/>
        <v>422</v>
      </c>
      <c r="AD90" t="s">
        <v>1576</v>
      </c>
      <c r="AE90" t="s">
        <v>1577</v>
      </c>
      <c r="AF90" t="str">
        <f t="shared" si="19"/>
        <v>A679072</v>
      </c>
      <c r="AG90" t="str">
        <f>VLOOKUP(AF90,AKT!$C$4:$E$324,3,FALSE)</f>
        <v>0942</v>
      </c>
    </row>
    <row r="91" spans="1:33">
      <c r="A91" s="69"/>
      <c r="B91" s="64" t="str">
        <f t="shared" si="16"/>
        <v/>
      </c>
      <c r="C91" s="69"/>
      <c r="D91" s="64" t="str">
        <f t="shared" si="17"/>
        <v/>
      </c>
      <c r="E91" s="102"/>
      <c r="F91" s="64" t="str">
        <f t="shared" si="10"/>
        <v/>
      </c>
      <c r="G91" s="64" t="str">
        <f t="shared" si="18"/>
        <v/>
      </c>
      <c r="H91" s="101"/>
      <c r="I91" s="101"/>
      <c r="J91" s="101"/>
      <c r="K91" s="112"/>
      <c r="L91" s="111"/>
      <c r="M91" s="111"/>
      <c r="N91" s="112"/>
      <c r="O91" s="235"/>
      <c r="P91" s="68"/>
      <c r="R91" t="str">
        <f t="shared" si="11"/>
        <v/>
      </c>
      <c r="S91" t="str">
        <f t="shared" si="12"/>
        <v/>
      </c>
      <c r="T91" t="str">
        <f t="shared" si="13"/>
        <v/>
      </c>
      <c r="X91">
        <v>4223</v>
      </c>
      <c r="Y91" t="s">
        <v>928</v>
      </c>
      <c r="AA91" t="str">
        <f t="shared" si="14"/>
        <v>42</v>
      </c>
      <c r="AB91" t="str">
        <f t="shared" si="15"/>
        <v>422</v>
      </c>
      <c r="AD91" t="s">
        <v>1578</v>
      </c>
      <c r="AE91" t="s">
        <v>1579</v>
      </c>
      <c r="AF91" t="str">
        <f t="shared" si="19"/>
        <v>A679072</v>
      </c>
      <c r="AG91" t="str">
        <f>VLOOKUP(AF91,AKT!$C$4:$E$324,3,FALSE)</f>
        <v>0942</v>
      </c>
    </row>
    <row r="92" spans="1:33">
      <c r="A92" s="69"/>
      <c r="B92" s="64" t="str">
        <f t="shared" si="16"/>
        <v/>
      </c>
      <c r="C92" s="69"/>
      <c r="D92" s="64" t="str">
        <f t="shared" si="17"/>
        <v/>
      </c>
      <c r="E92" s="102"/>
      <c r="F92" s="64" t="str">
        <f t="shared" si="10"/>
        <v/>
      </c>
      <c r="G92" s="64" t="str">
        <f t="shared" si="18"/>
        <v/>
      </c>
      <c r="H92" s="101"/>
      <c r="I92" s="101"/>
      <c r="J92" s="101"/>
      <c r="K92" s="112"/>
      <c r="L92" s="111"/>
      <c r="M92" s="111"/>
      <c r="N92" s="112"/>
      <c r="O92" s="235"/>
      <c r="P92" s="68"/>
      <c r="R92" t="str">
        <f t="shared" si="11"/>
        <v/>
      </c>
      <c r="S92" t="str">
        <f t="shared" si="12"/>
        <v/>
      </c>
      <c r="T92" t="str">
        <f t="shared" si="13"/>
        <v/>
      </c>
      <c r="X92">
        <v>4224</v>
      </c>
      <c r="Y92" t="s">
        <v>931</v>
      </c>
      <c r="AA92" t="str">
        <f t="shared" si="14"/>
        <v>42</v>
      </c>
      <c r="AB92" t="str">
        <f t="shared" si="15"/>
        <v>422</v>
      </c>
      <c r="AD92" t="s">
        <v>1580</v>
      </c>
      <c r="AE92" t="s">
        <v>1581</v>
      </c>
      <c r="AF92" t="str">
        <f t="shared" si="19"/>
        <v>A679072</v>
      </c>
      <c r="AG92" t="str">
        <f>VLOOKUP(AF92,AKT!$C$4:$E$324,3,FALSE)</f>
        <v>0942</v>
      </c>
    </row>
    <row r="93" spans="1:33">
      <c r="A93" s="69"/>
      <c r="B93" s="64" t="str">
        <f t="shared" si="16"/>
        <v/>
      </c>
      <c r="C93" s="69"/>
      <c r="D93" s="64" t="str">
        <f t="shared" si="17"/>
        <v/>
      </c>
      <c r="E93" s="102"/>
      <c r="F93" s="64" t="str">
        <f t="shared" si="10"/>
        <v/>
      </c>
      <c r="G93" s="64" t="str">
        <f t="shared" si="18"/>
        <v/>
      </c>
      <c r="H93" s="101"/>
      <c r="I93" s="101"/>
      <c r="J93" s="101"/>
      <c r="K93" s="112"/>
      <c r="L93" s="111"/>
      <c r="M93" s="111"/>
      <c r="N93" s="112"/>
      <c r="O93" s="235"/>
      <c r="P93" s="68"/>
      <c r="R93" t="str">
        <f t="shared" si="11"/>
        <v/>
      </c>
      <c r="S93" t="str">
        <f t="shared" si="12"/>
        <v/>
      </c>
      <c r="T93" t="str">
        <f t="shared" si="13"/>
        <v/>
      </c>
      <c r="X93">
        <v>4225</v>
      </c>
      <c r="Y93" t="s">
        <v>934</v>
      </c>
      <c r="AA93" t="str">
        <f t="shared" si="14"/>
        <v>42</v>
      </c>
      <c r="AB93" t="str">
        <f t="shared" si="15"/>
        <v>422</v>
      </c>
      <c r="AD93" t="s">
        <v>1582</v>
      </c>
      <c r="AE93" t="s">
        <v>1583</v>
      </c>
      <c r="AF93" t="str">
        <f t="shared" si="19"/>
        <v>A679072</v>
      </c>
      <c r="AG93" t="str">
        <f>VLOOKUP(AF93,AKT!$C$4:$E$324,3,FALSE)</f>
        <v>0942</v>
      </c>
    </row>
    <row r="94" spans="1:33">
      <c r="A94" s="69"/>
      <c r="B94" s="64" t="str">
        <f t="shared" si="16"/>
        <v/>
      </c>
      <c r="C94" s="69"/>
      <c r="D94" s="64" t="str">
        <f t="shared" si="17"/>
        <v/>
      </c>
      <c r="E94" s="102"/>
      <c r="F94" s="64" t="str">
        <f t="shared" si="10"/>
        <v/>
      </c>
      <c r="G94" s="64" t="str">
        <f t="shared" si="18"/>
        <v/>
      </c>
      <c r="H94" s="101"/>
      <c r="I94" s="101"/>
      <c r="J94" s="101"/>
      <c r="K94" s="112"/>
      <c r="L94" s="111"/>
      <c r="M94" s="111"/>
      <c r="N94" s="112"/>
      <c r="O94" s="235"/>
      <c r="P94" s="68"/>
      <c r="R94" t="str">
        <f t="shared" si="11"/>
        <v/>
      </c>
      <c r="S94" t="str">
        <f t="shared" si="12"/>
        <v/>
      </c>
      <c r="T94" t="str">
        <f t="shared" si="13"/>
        <v/>
      </c>
      <c r="X94">
        <v>4226</v>
      </c>
      <c r="Y94" t="s">
        <v>937</v>
      </c>
      <c r="AA94" t="str">
        <f t="shared" si="14"/>
        <v>42</v>
      </c>
      <c r="AB94" t="str">
        <f t="shared" si="15"/>
        <v>422</v>
      </c>
      <c r="AD94" t="s">
        <v>1584</v>
      </c>
      <c r="AE94" t="s">
        <v>1585</v>
      </c>
      <c r="AF94" t="str">
        <f t="shared" si="19"/>
        <v>A679072</v>
      </c>
      <c r="AG94" t="str">
        <f>VLOOKUP(AF94,AKT!$C$4:$E$324,3,FALSE)</f>
        <v>0942</v>
      </c>
    </row>
    <row r="95" spans="1:33">
      <c r="A95" s="69"/>
      <c r="B95" s="64" t="str">
        <f t="shared" si="16"/>
        <v/>
      </c>
      <c r="C95" s="69"/>
      <c r="D95" s="64" t="str">
        <f t="shared" si="17"/>
        <v/>
      </c>
      <c r="E95" s="102"/>
      <c r="F95" s="64" t="str">
        <f t="shared" si="10"/>
        <v/>
      </c>
      <c r="G95" s="64" t="str">
        <f t="shared" si="18"/>
        <v/>
      </c>
      <c r="H95" s="101"/>
      <c r="I95" s="101"/>
      <c r="J95" s="101"/>
      <c r="K95" s="112"/>
      <c r="L95" s="111"/>
      <c r="M95" s="111"/>
      <c r="N95" s="112"/>
      <c r="O95" s="235"/>
      <c r="P95" s="68"/>
      <c r="R95" t="str">
        <f t="shared" si="11"/>
        <v/>
      </c>
      <c r="S95" t="str">
        <f t="shared" si="12"/>
        <v/>
      </c>
      <c r="T95" t="str">
        <f t="shared" si="13"/>
        <v/>
      </c>
      <c r="X95">
        <v>4227</v>
      </c>
      <c r="Y95" t="s">
        <v>940</v>
      </c>
      <c r="AA95" t="str">
        <f t="shared" si="14"/>
        <v>42</v>
      </c>
      <c r="AB95" t="str">
        <f t="shared" si="15"/>
        <v>422</v>
      </c>
      <c r="AD95" t="s">
        <v>1586</v>
      </c>
      <c r="AE95" t="s">
        <v>1587</v>
      </c>
      <c r="AF95" t="str">
        <f t="shared" si="19"/>
        <v>A679072</v>
      </c>
      <c r="AG95" t="str">
        <f>VLOOKUP(AF95,AKT!$C$4:$E$324,3,FALSE)</f>
        <v>0942</v>
      </c>
    </row>
    <row r="96" spans="1:33">
      <c r="A96" s="69"/>
      <c r="B96" s="64" t="str">
        <f t="shared" si="16"/>
        <v/>
      </c>
      <c r="C96" s="69"/>
      <c r="D96" s="64" t="str">
        <f t="shared" si="17"/>
        <v/>
      </c>
      <c r="E96" s="102"/>
      <c r="F96" s="64" t="str">
        <f t="shared" si="10"/>
        <v/>
      </c>
      <c r="G96" s="64" t="str">
        <f t="shared" si="18"/>
        <v/>
      </c>
      <c r="H96" s="101"/>
      <c r="I96" s="101"/>
      <c r="J96" s="101"/>
      <c r="K96" s="112"/>
      <c r="L96" s="111"/>
      <c r="M96" s="111"/>
      <c r="N96" s="112"/>
      <c r="O96" s="235"/>
      <c r="P96" s="68"/>
      <c r="R96" t="str">
        <f t="shared" si="11"/>
        <v/>
      </c>
      <c r="S96" t="str">
        <f t="shared" si="12"/>
        <v/>
      </c>
      <c r="T96" t="str">
        <f t="shared" si="13"/>
        <v/>
      </c>
      <c r="X96">
        <v>4231</v>
      </c>
      <c r="Y96" t="s">
        <v>943</v>
      </c>
      <c r="AA96" t="str">
        <f t="shared" si="14"/>
        <v>42</v>
      </c>
      <c r="AB96" t="str">
        <f t="shared" si="15"/>
        <v>423</v>
      </c>
      <c r="AD96" t="s">
        <v>1588</v>
      </c>
      <c r="AE96" t="s">
        <v>1589</v>
      </c>
      <c r="AF96" t="str">
        <f t="shared" si="19"/>
        <v>A679072</v>
      </c>
      <c r="AG96" t="str">
        <f>VLOOKUP(AF96,AKT!$C$4:$E$324,3,FALSE)</f>
        <v>0942</v>
      </c>
    </row>
    <row r="97" spans="1:33">
      <c r="A97" s="69"/>
      <c r="B97" s="64" t="str">
        <f t="shared" si="16"/>
        <v/>
      </c>
      <c r="C97" s="69"/>
      <c r="D97" s="64" t="str">
        <f t="shared" si="17"/>
        <v/>
      </c>
      <c r="E97" s="102"/>
      <c r="F97" s="64" t="str">
        <f t="shared" si="10"/>
        <v/>
      </c>
      <c r="G97" s="64" t="str">
        <f t="shared" si="18"/>
        <v/>
      </c>
      <c r="H97" s="101"/>
      <c r="I97" s="101"/>
      <c r="J97" s="101"/>
      <c r="K97" s="112"/>
      <c r="L97" s="111"/>
      <c r="M97" s="111"/>
      <c r="N97" s="112"/>
      <c r="O97" s="235"/>
      <c r="P97" s="68"/>
      <c r="R97" t="str">
        <f t="shared" si="11"/>
        <v/>
      </c>
      <c r="S97" t="str">
        <f t="shared" si="12"/>
        <v/>
      </c>
      <c r="T97" t="str">
        <f t="shared" si="13"/>
        <v/>
      </c>
      <c r="X97">
        <v>4233</v>
      </c>
      <c r="Y97" t="s">
        <v>946</v>
      </c>
      <c r="AA97" t="str">
        <f t="shared" si="14"/>
        <v>42</v>
      </c>
      <c r="AB97" t="str">
        <f t="shared" si="15"/>
        <v>423</v>
      </c>
      <c r="AD97" t="s">
        <v>1590</v>
      </c>
      <c r="AE97" t="s">
        <v>1591</v>
      </c>
      <c r="AF97" t="str">
        <f t="shared" si="19"/>
        <v>A679072</v>
      </c>
      <c r="AG97" t="str">
        <f>VLOOKUP(AF97,AKT!$C$4:$E$324,3,FALSE)</f>
        <v>0942</v>
      </c>
    </row>
    <row r="98" spans="1:33">
      <c r="A98" s="69"/>
      <c r="B98" s="64" t="str">
        <f t="shared" si="16"/>
        <v/>
      </c>
      <c r="C98" s="69"/>
      <c r="D98" s="64" t="str">
        <f t="shared" si="17"/>
        <v/>
      </c>
      <c r="E98" s="102"/>
      <c r="F98" s="64" t="str">
        <f t="shared" si="10"/>
        <v/>
      </c>
      <c r="G98" s="64" t="str">
        <f t="shared" si="18"/>
        <v/>
      </c>
      <c r="H98" s="101"/>
      <c r="I98" s="101"/>
      <c r="J98" s="101"/>
      <c r="K98" s="112"/>
      <c r="L98" s="111"/>
      <c r="M98" s="111"/>
      <c r="N98" s="112"/>
      <c r="O98" s="235"/>
      <c r="P98" s="68"/>
      <c r="R98" t="str">
        <f t="shared" si="11"/>
        <v/>
      </c>
      <c r="S98" t="str">
        <f t="shared" si="12"/>
        <v/>
      </c>
      <c r="T98" t="str">
        <f t="shared" si="13"/>
        <v/>
      </c>
      <c r="X98">
        <v>4241</v>
      </c>
      <c r="Y98" t="s">
        <v>949</v>
      </c>
      <c r="AA98" t="str">
        <f t="shared" si="14"/>
        <v>42</v>
      </c>
      <c r="AB98" t="str">
        <f t="shared" si="15"/>
        <v>424</v>
      </c>
      <c r="AD98" t="s">
        <v>1592</v>
      </c>
      <c r="AE98" t="s">
        <v>1593</v>
      </c>
      <c r="AF98" t="str">
        <f t="shared" si="19"/>
        <v>A679072</v>
      </c>
      <c r="AG98" t="str">
        <f>VLOOKUP(AF98,AKT!$C$4:$E$324,3,FALSE)</f>
        <v>0942</v>
      </c>
    </row>
    <row r="99" spans="1:33">
      <c r="A99" s="69"/>
      <c r="B99" s="64" t="str">
        <f t="shared" si="16"/>
        <v/>
      </c>
      <c r="C99" s="69"/>
      <c r="D99" s="64" t="str">
        <f t="shared" si="17"/>
        <v/>
      </c>
      <c r="E99" s="102"/>
      <c r="F99" s="64" t="str">
        <f t="shared" si="10"/>
        <v/>
      </c>
      <c r="G99" s="64" t="str">
        <f t="shared" si="18"/>
        <v/>
      </c>
      <c r="H99" s="101"/>
      <c r="I99" s="101"/>
      <c r="J99" s="101"/>
      <c r="K99" s="112"/>
      <c r="L99" s="111"/>
      <c r="M99" s="111"/>
      <c r="N99" s="112"/>
      <c r="O99" s="235"/>
      <c r="P99" s="68"/>
      <c r="R99" t="str">
        <f t="shared" si="11"/>
        <v/>
      </c>
      <c r="S99" t="str">
        <f t="shared" si="12"/>
        <v/>
      </c>
      <c r="T99" t="str">
        <f t="shared" si="13"/>
        <v/>
      </c>
      <c r="X99">
        <v>4242</v>
      </c>
      <c r="Y99" t="s">
        <v>952</v>
      </c>
      <c r="AA99" t="str">
        <f t="shared" si="14"/>
        <v>42</v>
      </c>
      <c r="AB99" t="str">
        <f t="shared" si="15"/>
        <v>424</v>
      </c>
      <c r="AD99" t="s">
        <v>1594</v>
      </c>
      <c r="AE99" t="s">
        <v>1595</v>
      </c>
      <c r="AF99" t="str">
        <f t="shared" si="19"/>
        <v>A679072</v>
      </c>
      <c r="AG99" t="str">
        <f>VLOOKUP(AF99,AKT!$C$4:$E$324,3,FALSE)</f>
        <v>0942</v>
      </c>
    </row>
    <row r="100" spans="1:33">
      <c r="A100" s="69"/>
      <c r="B100" s="64" t="str">
        <f t="shared" si="16"/>
        <v/>
      </c>
      <c r="C100" s="69"/>
      <c r="D100" s="64" t="str">
        <f t="shared" si="17"/>
        <v/>
      </c>
      <c r="E100" s="102"/>
      <c r="F100" s="64" t="str">
        <f t="shared" si="10"/>
        <v/>
      </c>
      <c r="G100" s="64" t="str">
        <f t="shared" si="18"/>
        <v/>
      </c>
      <c r="H100" s="101"/>
      <c r="I100" s="101"/>
      <c r="J100" s="101"/>
      <c r="K100" s="112"/>
      <c r="L100" s="111"/>
      <c r="M100" s="111"/>
      <c r="N100" s="112"/>
      <c r="O100" s="235"/>
      <c r="P100" s="68"/>
      <c r="R100" t="str">
        <f t="shared" si="11"/>
        <v/>
      </c>
      <c r="S100" t="str">
        <f t="shared" si="12"/>
        <v/>
      </c>
      <c r="T100" t="str">
        <f t="shared" si="13"/>
        <v/>
      </c>
      <c r="X100">
        <v>4244</v>
      </c>
      <c r="Y100" t="s">
        <v>955</v>
      </c>
      <c r="AA100" t="str">
        <f t="shared" si="14"/>
        <v>42</v>
      </c>
      <c r="AB100" t="str">
        <f t="shared" si="15"/>
        <v>424</v>
      </c>
      <c r="AD100" t="s">
        <v>1596</v>
      </c>
      <c r="AE100" t="s">
        <v>1597</v>
      </c>
      <c r="AF100" t="str">
        <f t="shared" si="19"/>
        <v>A679072</v>
      </c>
      <c r="AG100" t="str">
        <f>VLOOKUP(AF100,AKT!$C$4:$E$324,3,FALSE)</f>
        <v>0942</v>
      </c>
    </row>
    <row r="101" spans="1:33">
      <c r="A101" s="69"/>
      <c r="B101" s="64" t="str">
        <f t="shared" si="16"/>
        <v/>
      </c>
      <c r="C101" s="69"/>
      <c r="D101" s="64" t="str">
        <f t="shared" si="17"/>
        <v/>
      </c>
      <c r="E101" s="102"/>
      <c r="F101" s="64" t="str">
        <f t="shared" si="10"/>
        <v/>
      </c>
      <c r="G101" s="64" t="str">
        <f t="shared" si="18"/>
        <v/>
      </c>
      <c r="H101" s="101"/>
      <c r="I101" s="101"/>
      <c r="J101" s="101"/>
      <c r="K101" s="112"/>
      <c r="L101" s="111"/>
      <c r="M101" s="111"/>
      <c r="N101" s="112"/>
      <c r="O101" s="235"/>
      <c r="P101" s="68"/>
      <c r="R101" t="str">
        <f t="shared" si="11"/>
        <v/>
      </c>
      <c r="S101" t="str">
        <f t="shared" si="12"/>
        <v/>
      </c>
      <c r="T101" t="str">
        <f t="shared" si="13"/>
        <v/>
      </c>
      <c r="X101">
        <v>4251</v>
      </c>
      <c r="Y101" t="s">
        <v>958</v>
      </c>
      <c r="AA101" t="str">
        <f t="shared" si="14"/>
        <v>42</v>
      </c>
      <c r="AB101" t="str">
        <f t="shared" si="15"/>
        <v>425</v>
      </c>
      <c r="AD101" t="s">
        <v>1598</v>
      </c>
      <c r="AE101" t="s">
        <v>1599</v>
      </c>
      <c r="AF101" t="str">
        <f t="shared" si="19"/>
        <v>A679072</v>
      </c>
      <c r="AG101" t="str">
        <f>VLOOKUP(AF101,AKT!$C$4:$E$324,3,FALSE)</f>
        <v>0942</v>
      </c>
    </row>
    <row r="102" spans="1:33">
      <c r="A102" s="69"/>
      <c r="B102" s="64" t="str">
        <f t="shared" si="16"/>
        <v/>
      </c>
      <c r="C102" s="69"/>
      <c r="D102" s="64" t="str">
        <f t="shared" si="17"/>
        <v/>
      </c>
      <c r="E102" s="102"/>
      <c r="F102" s="64" t="str">
        <f t="shared" si="10"/>
        <v/>
      </c>
      <c r="G102" s="64" t="str">
        <f t="shared" si="18"/>
        <v/>
      </c>
      <c r="H102" s="101"/>
      <c r="I102" s="101"/>
      <c r="J102" s="101"/>
      <c r="K102" s="112"/>
      <c r="L102" s="111"/>
      <c r="M102" s="111"/>
      <c r="N102" s="112"/>
      <c r="O102" s="235"/>
      <c r="P102" s="68"/>
      <c r="R102" t="str">
        <f t="shared" si="11"/>
        <v/>
      </c>
      <c r="S102" t="str">
        <f t="shared" si="12"/>
        <v/>
      </c>
      <c r="T102" t="str">
        <f t="shared" si="13"/>
        <v/>
      </c>
      <c r="X102">
        <v>4252</v>
      </c>
      <c r="Y102" t="s">
        <v>961</v>
      </c>
      <c r="AA102" t="str">
        <f t="shared" si="14"/>
        <v>42</v>
      </c>
      <c r="AB102" t="str">
        <f t="shared" si="15"/>
        <v>425</v>
      </c>
      <c r="AD102" t="s">
        <v>1600</v>
      </c>
      <c r="AE102" t="s">
        <v>1601</v>
      </c>
      <c r="AF102" t="str">
        <f t="shared" si="19"/>
        <v>A679072</v>
      </c>
      <c r="AG102" t="str">
        <f>VLOOKUP(AF102,AKT!$C$4:$E$324,3,FALSE)</f>
        <v>0942</v>
      </c>
    </row>
    <row r="103" spans="1:33">
      <c r="A103" s="69"/>
      <c r="B103" s="64" t="str">
        <f t="shared" si="16"/>
        <v/>
      </c>
      <c r="C103" s="69"/>
      <c r="D103" s="64" t="str">
        <f t="shared" si="17"/>
        <v/>
      </c>
      <c r="E103" s="102"/>
      <c r="F103" s="64" t="str">
        <f t="shared" si="10"/>
        <v/>
      </c>
      <c r="G103" s="64" t="str">
        <f t="shared" si="18"/>
        <v/>
      </c>
      <c r="H103" s="101"/>
      <c r="I103" s="101"/>
      <c r="J103" s="101"/>
      <c r="K103" s="112"/>
      <c r="L103" s="111"/>
      <c r="M103" s="111"/>
      <c r="N103" s="112"/>
      <c r="O103" s="235"/>
      <c r="P103" s="68"/>
      <c r="R103" t="str">
        <f t="shared" si="11"/>
        <v/>
      </c>
      <c r="S103" t="str">
        <f t="shared" si="12"/>
        <v/>
      </c>
      <c r="T103" t="str">
        <f t="shared" si="13"/>
        <v/>
      </c>
      <c r="X103">
        <v>4262</v>
      </c>
      <c r="Y103" t="s">
        <v>964</v>
      </c>
      <c r="AA103" t="str">
        <f t="shared" si="14"/>
        <v>42</v>
      </c>
      <c r="AB103" t="str">
        <f t="shared" si="15"/>
        <v>426</v>
      </c>
      <c r="AD103" t="s">
        <v>1602</v>
      </c>
      <c r="AE103" t="s">
        <v>1603</v>
      </c>
      <c r="AF103" t="str">
        <f t="shared" si="19"/>
        <v>A679072</v>
      </c>
      <c r="AG103" t="str">
        <f>VLOOKUP(AF103,AKT!$C$4:$E$324,3,FALSE)</f>
        <v>0942</v>
      </c>
    </row>
    <row r="104" spans="1:33">
      <c r="A104" s="69"/>
      <c r="B104" s="64" t="str">
        <f t="shared" si="16"/>
        <v/>
      </c>
      <c r="C104" s="69"/>
      <c r="D104" s="64" t="str">
        <f t="shared" si="17"/>
        <v/>
      </c>
      <c r="E104" s="102"/>
      <c r="F104" s="64" t="str">
        <f t="shared" si="10"/>
        <v/>
      </c>
      <c r="G104" s="64" t="str">
        <f t="shared" si="18"/>
        <v/>
      </c>
      <c r="H104" s="101"/>
      <c r="I104" s="101"/>
      <c r="J104" s="101"/>
      <c r="K104" s="112"/>
      <c r="L104" s="111"/>
      <c r="M104" s="111"/>
      <c r="N104" s="112"/>
      <c r="O104" s="235"/>
      <c r="P104" s="68"/>
      <c r="R104" t="str">
        <f t="shared" si="11"/>
        <v/>
      </c>
      <c r="S104" t="str">
        <f t="shared" si="12"/>
        <v/>
      </c>
      <c r="T104" t="str">
        <f t="shared" si="13"/>
        <v/>
      </c>
      <c r="X104">
        <v>4263</v>
      </c>
      <c r="Y104" t="s">
        <v>967</v>
      </c>
      <c r="AA104" t="str">
        <f t="shared" si="14"/>
        <v>42</v>
      </c>
      <c r="AB104" t="str">
        <f t="shared" si="15"/>
        <v>426</v>
      </c>
      <c r="AD104" t="s">
        <v>1604</v>
      </c>
      <c r="AE104" t="s">
        <v>1605</v>
      </c>
      <c r="AF104" t="str">
        <f t="shared" si="19"/>
        <v>A679072</v>
      </c>
      <c r="AG104" t="str">
        <f>VLOOKUP(AF104,AKT!$C$4:$E$324,3,FALSE)</f>
        <v>0942</v>
      </c>
    </row>
    <row r="105" spans="1:33">
      <c r="A105" s="69"/>
      <c r="B105" s="64" t="str">
        <f t="shared" si="16"/>
        <v/>
      </c>
      <c r="C105" s="69"/>
      <c r="D105" s="64" t="str">
        <f t="shared" si="17"/>
        <v/>
      </c>
      <c r="E105" s="102"/>
      <c r="F105" s="64" t="str">
        <f t="shared" si="10"/>
        <v/>
      </c>
      <c r="G105" s="64" t="str">
        <f t="shared" si="18"/>
        <v/>
      </c>
      <c r="H105" s="101"/>
      <c r="I105" s="101"/>
      <c r="J105" s="101"/>
      <c r="K105" s="112"/>
      <c r="L105" s="111"/>
      <c r="M105" s="111"/>
      <c r="N105" s="112"/>
      <c r="O105" s="235"/>
      <c r="P105" s="68"/>
      <c r="R105" t="str">
        <f t="shared" si="11"/>
        <v/>
      </c>
      <c r="S105" t="str">
        <f t="shared" si="12"/>
        <v/>
      </c>
      <c r="T105" t="str">
        <f t="shared" si="13"/>
        <v/>
      </c>
      <c r="X105">
        <v>4264</v>
      </c>
      <c r="Y105" t="s">
        <v>1606</v>
      </c>
      <c r="AA105" t="str">
        <f t="shared" si="14"/>
        <v>42</v>
      </c>
      <c r="AB105" t="str">
        <f t="shared" si="15"/>
        <v>426</v>
      </c>
      <c r="AD105" t="s">
        <v>1607</v>
      </c>
      <c r="AE105" t="s">
        <v>1608</v>
      </c>
      <c r="AF105" t="str">
        <f t="shared" si="19"/>
        <v>A679072</v>
      </c>
      <c r="AG105" t="str">
        <f>VLOOKUP(AF105,AKT!$C$4:$E$324,3,FALSE)</f>
        <v>0942</v>
      </c>
    </row>
    <row r="106" spans="1:33">
      <c r="A106" s="69"/>
      <c r="B106" s="64" t="str">
        <f t="shared" si="16"/>
        <v/>
      </c>
      <c r="C106" s="69"/>
      <c r="D106" s="64" t="str">
        <f t="shared" si="17"/>
        <v/>
      </c>
      <c r="E106" s="102"/>
      <c r="F106" s="64" t="str">
        <f t="shared" ref="F106:F169" si="20">IFERROR(VLOOKUP(E106,$AD$6:$AE$1085,2,FALSE),"")</f>
        <v/>
      </c>
      <c r="G106" s="64" t="str">
        <f t="shared" si="18"/>
        <v/>
      </c>
      <c r="H106" s="101"/>
      <c r="I106" s="101"/>
      <c r="J106" s="101"/>
      <c r="K106" s="112"/>
      <c r="L106" s="111"/>
      <c r="M106" s="111"/>
      <c r="N106" s="112"/>
      <c r="O106" s="235"/>
      <c r="P106" s="68"/>
      <c r="R106" t="str">
        <f t="shared" si="11"/>
        <v/>
      </c>
      <c r="S106" t="str">
        <f t="shared" si="12"/>
        <v/>
      </c>
      <c r="T106" t="str">
        <f t="shared" si="13"/>
        <v/>
      </c>
      <c r="X106">
        <v>4312</v>
      </c>
      <c r="Y106" t="s">
        <v>1609</v>
      </c>
      <c r="AA106" t="str">
        <f t="shared" si="14"/>
        <v>43</v>
      </c>
      <c r="AB106" t="str">
        <f t="shared" si="15"/>
        <v>431</v>
      </c>
      <c r="AD106" t="s">
        <v>1610</v>
      </c>
      <c r="AE106" t="s">
        <v>1611</v>
      </c>
      <c r="AF106" t="str">
        <f t="shared" si="19"/>
        <v>A679072</v>
      </c>
      <c r="AG106" t="str">
        <f>VLOOKUP(AF106,AKT!$C$4:$E$324,3,FALSE)</f>
        <v>0942</v>
      </c>
    </row>
    <row r="107" spans="1:33">
      <c r="A107" s="69"/>
      <c r="B107" s="64" t="str">
        <f t="shared" si="16"/>
        <v/>
      </c>
      <c r="C107" s="69"/>
      <c r="D107" s="64" t="str">
        <f t="shared" si="17"/>
        <v/>
      </c>
      <c r="E107" s="102"/>
      <c r="F107" s="64" t="str">
        <f t="shared" si="20"/>
        <v/>
      </c>
      <c r="G107" s="64" t="str">
        <f t="shared" si="18"/>
        <v/>
      </c>
      <c r="H107" s="101"/>
      <c r="I107" s="101"/>
      <c r="J107" s="101"/>
      <c r="K107" s="112"/>
      <c r="L107" s="111"/>
      <c r="M107" s="111"/>
      <c r="N107" s="112"/>
      <c r="O107" s="235"/>
      <c r="P107" s="68"/>
      <c r="R107" t="str">
        <f t="shared" si="11"/>
        <v/>
      </c>
      <c r="S107" t="str">
        <f t="shared" si="12"/>
        <v/>
      </c>
      <c r="T107" t="str">
        <f t="shared" si="13"/>
        <v/>
      </c>
      <c r="X107">
        <v>4411</v>
      </c>
      <c r="Y107" t="s">
        <v>970</v>
      </c>
      <c r="AA107" t="str">
        <f t="shared" si="14"/>
        <v>44</v>
      </c>
      <c r="AB107" t="str">
        <f t="shared" si="15"/>
        <v>441</v>
      </c>
      <c r="AD107" t="s">
        <v>1612</v>
      </c>
      <c r="AE107" t="s">
        <v>1613</v>
      </c>
      <c r="AF107" t="str">
        <f t="shared" si="19"/>
        <v>A679072</v>
      </c>
      <c r="AG107" t="str">
        <f>VLOOKUP(AF107,AKT!$C$4:$E$324,3,FALSE)</f>
        <v>0942</v>
      </c>
    </row>
    <row r="108" spans="1:33">
      <c r="A108" s="234"/>
      <c r="B108" s="64" t="str">
        <f t="shared" si="16"/>
        <v/>
      </c>
      <c r="C108" s="69"/>
      <c r="D108" s="64" t="str">
        <f t="shared" si="17"/>
        <v/>
      </c>
      <c r="E108" s="102"/>
      <c r="F108" s="64" t="str">
        <f t="shared" si="20"/>
        <v/>
      </c>
      <c r="G108" s="64" t="str">
        <f t="shared" si="18"/>
        <v/>
      </c>
      <c r="H108" s="101"/>
      <c r="I108" s="101"/>
      <c r="J108" s="101"/>
      <c r="K108" s="112"/>
      <c r="L108" s="111"/>
      <c r="M108" s="111"/>
      <c r="N108" s="112"/>
      <c r="O108" s="235"/>
      <c r="P108" s="68"/>
      <c r="R108" t="str">
        <f t="shared" si="11"/>
        <v/>
      </c>
      <c r="S108" t="str">
        <f t="shared" si="12"/>
        <v/>
      </c>
      <c r="T108" t="str">
        <f t="shared" si="13"/>
        <v/>
      </c>
      <c r="X108">
        <v>4511</v>
      </c>
      <c r="Y108" t="s">
        <v>973</v>
      </c>
      <c r="AA108" t="str">
        <f t="shared" si="14"/>
        <v>45</v>
      </c>
      <c r="AB108" t="str">
        <f t="shared" si="15"/>
        <v>451</v>
      </c>
      <c r="AD108" t="s">
        <v>1614</v>
      </c>
      <c r="AE108" t="s">
        <v>1615</v>
      </c>
      <c r="AF108" t="str">
        <f t="shared" si="19"/>
        <v>A679072</v>
      </c>
      <c r="AG108" t="str">
        <f>VLOOKUP(AF108,AKT!$C$4:$E$324,3,FALSE)</f>
        <v>0942</v>
      </c>
    </row>
    <row r="109" spans="1:33">
      <c r="A109" s="234"/>
      <c r="B109" s="64" t="str">
        <f t="shared" si="16"/>
        <v/>
      </c>
      <c r="C109" s="69"/>
      <c r="D109" s="64" t="str">
        <f t="shared" si="17"/>
        <v/>
      </c>
      <c r="E109" s="102"/>
      <c r="F109" s="64" t="str">
        <f t="shared" si="20"/>
        <v/>
      </c>
      <c r="G109" s="64" t="str">
        <f t="shared" si="18"/>
        <v/>
      </c>
      <c r="H109" s="101"/>
      <c r="I109" s="101"/>
      <c r="J109" s="101"/>
      <c r="K109" s="112"/>
      <c r="L109" s="111"/>
      <c r="M109" s="111"/>
      <c r="N109" s="112"/>
      <c r="O109" s="235"/>
      <c r="P109" s="68"/>
      <c r="R109" t="str">
        <f t="shared" si="11"/>
        <v/>
      </c>
      <c r="S109" t="str">
        <f t="shared" si="12"/>
        <v/>
      </c>
      <c r="T109" t="str">
        <f t="shared" si="13"/>
        <v/>
      </c>
      <c r="X109">
        <v>4521</v>
      </c>
      <c r="Y109" t="s">
        <v>976</v>
      </c>
      <c r="AA109" t="str">
        <f t="shared" si="14"/>
        <v>45</v>
      </c>
      <c r="AB109" t="str">
        <f t="shared" si="15"/>
        <v>452</v>
      </c>
      <c r="AD109" t="s">
        <v>1616</v>
      </c>
      <c r="AE109" t="s">
        <v>1617</v>
      </c>
      <c r="AF109" t="str">
        <f t="shared" si="19"/>
        <v>A679072</v>
      </c>
      <c r="AG109" t="str">
        <f>VLOOKUP(AF109,AKT!$C$4:$E$324,3,FALSE)</f>
        <v>0942</v>
      </c>
    </row>
    <row r="110" spans="1:33">
      <c r="A110" s="69"/>
      <c r="B110" s="64" t="str">
        <f t="shared" si="16"/>
        <v/>
      </c>
      <c r="C110" s="69"/>
      <c r="D110" s="64" t="str">
        <f t="shared" si="17"/>
        <v/>
      </c>
      <c r="E110" s="102"/>
      <c r="F110" s="64" t="str">
        <f t="shared" si="20"/>
        <v/>
      </c>
      <c r="G110" s="64" t="str">
        <f t="shared" si="18"/>
        <v/>
      </c>
      <c r="H110" s="101"/>
      <c r="I110" s="101"/>
      <c r="J110" s="101"/>
      <c r="K110" s="112"/>
      <c r="L110" s="111"/>
      <c r="M110" s="111"/>
      <c r="N110" s="112"/>
      <c r="O110" s="235"/>
      <c r="P110" s="68"/>
      <c r="R110" t="str">
        <f t="shared" si="11"/>
        <v/>
      </c>
      <c r="S110" t="str">
        <f t="shared" si="12"/>
        <v/>
      </c>
      <c r="T110" t="str">
        <f t="shared" si="13"/>
        <v/>
      </c>
      <c r="X110">
        <v>4531</v>
      </c>
      <c r="Y110" t="s">
        <v>979</v>
      </c>
      <c r="AA110" t="str">
        <f t="shared" si="14"/>
        <v>45</v>
      </c>
      <c r="AB110" t="str">
        <f t="shared" si="15"/>
        <v>453</v>
      </c>
      <c r="AD110" t="s">
        <v>1618</v>
      </c>
      <c r="AE110" t="s">
        <v>1619</v>
      </c>
      <c r="AF110" t="str">
        <f t="shared" si="19"/>
        <v>A679072</v>
      </c>
      <c r="AG110" t="str">
        <f>VLOOKUP(AF110,AKT!$C$4:$E$324,3,FALSE)</f>
        <v>0942</v>
      </c>
    </row>
    <row r="111" spans="1:33">
      <c r="A111" s="69"/>
      <c r="B111" s="64" t="str">
        <f t="shared" si="16"/>
        <v/>
      </c>
      <c r="C111" s="69"/>
      <c r="D111" s="64" t="str">
        <f t="shared" si="17"/>
        <v/>
      </c>
      <c r="E111" s="102"/>
      <c r="F111" s="64" t="str">
        <f t="shared" si="20"/>
        <v/>
      </c>
      <c r="G111" s="64" t="str">
        <f t="shared" si="18"/>
        <v/>
      </c>
      <c r="H111" s="101"/>
      <c r="I111" s="101"/>
      <c r="J111" s="101"/>
      <c r="K111" s="112"/>
      <c r="L111" s="111"/>
      <c r="M111" s="111"/>
      <c r="N111" s="112"/>
      <c r="O111" s="235"/>
      <c r="P111" s="68"/>
      <c r="R111" t="str">
        <f t="shared" si="11"/>
        <v/>
      </c>
      <c r="S111" t="str">
        <f t="shared" si="12"/>
        <v/>
      </c>
      <c r="T111" t="str">
        <f t="shared" si="13"/>
        <v/>
      </c>
      <c r="X111">
        <v>4541</v>
      </c>
      <c r="Y111" t="s">
        <v>982</v>
      </c>
      <c r="AA111" t="str">
        <f t="shared" si="14"/>
        <v>45</v>
      </c>
      <c r="AB111" t="str">
        <f t="shared" si="15"/>
        <v>454</v>
      </c>
      <c r="AD111" t="s">
        <v>1620</v>
      </c>
      <c r="AE111" t="s">
        <v>1621</v>
      </c>
      <c r="AF111" t="str">
        <f t="shared" si="19"/>
        <v>A679072</v>
      </c>
      <c r="AG111" t="str">
        <f>VLOOKUP(AF111,AKT!$C$4:$E$324,3,FALSE)</f>
        <v>0942</v>
      </c>
    </row>
    <row r="112" spans="1:33">
      <c r="A112" s="69"/>
      <c r="B112" s="64" t="str">
        <f t="shared" si="16"/>
        <v/>
      </c>
      <c r="C112" s="69"/>
      <c r="D112" s="64" t="str">
        <f t="shared" si="17"/>
        <v/>
      </c>
      <c r="E112" s="102"/>
      <c r="F112" s="64" t="str">
        <f t="shared" si="20"/>
        <v/>
      </c>
      <c r="G112" s="64" t="str">
        <f t="shared" si="18"/>
        <v/>
      </c>
      <c r="H112" s="101"/>
      <c r="I112" s="101"/>
      <c r="J112" s="101"/>
      <c r="K112" s="112"/>
      <c r="L112" s="111"/>
      <c r="M112" s="111"/>
      <c r="N112" s="112"/>
      <c r="O112" s="235"/>
      <c r="P112" s="68"/>
      <c r="R112" t="str">
        <f t="shared" si="11"/>
        <v/>
      </c>
      <c r="S112" t="str">
        <f t="shared" si="12"/>
        <v/>
      </c>
      <c r="T112" t="str">
        <f t="shared" si="13"/>
        <v/>
      </c>
      <c r="X112">
        <v>5121</v>
      </c>
      <c r="Y112" t="s">
        <v>985</v>
      </c>
      <c r="AA112" t="str">
        <f t="shared" si="14"/>
        <v>51</v>
      </c>
      <c r="AB112" t="str">
        <f t="shared" si="15"/>
        <v>512</v>
      </c>
      <c r="AD112" t="s">
        <v>1622</v>
      </c>
      <c r="AE112" t="s">
        <v>1623</v>
      </c>
      <c r="AF112" t="str">
        <f t="shared" si="19"/>
        <v>A679072</v>
      </c>
      <c r="AG112" t="str">
        <f>VLOOKUP(AF112,AKT!$C$4:$E$324,3,FALSE)</f>
        <v>0942</v>
      </c>
    </row>
    <row r="113" spans="1:33">
      <c r="A113" s="69"/>
      <c r="B113" s="64" t="str">
        <f t="shared" si="16"/>
        <v/>
      </c>
      <c r="C113" s="69"/>
      <c r="D113" s="64" t="str">
        <f t="shared" si="17"/>
        <v/>
      </c>
      <c r="E113" s="102"/>
      <c r="F113" s="64" t="str">
        <f t="shared" si="20"/>
        <v/>
      </c>
      <c r="G113" s="64" t="str">
        <f t="shared" si="18"/>
        <v/>
      </c>
      <c r="H113" s="101"/>
      <c r="I113" s="101"/>
      <c r="J113" s="101"/>
      <c r="K113" s="112"/>
      <c r="L113" s="111"/>
      <c r="M113" s="111"/>
      <c r="N113" s="112"/>
      <c r="O113" s="235"/>
      <c r="P113" s="68"/>
      <c r="R113" t="str">
        <f t="shared" si="11"/>
        <v/>
      </c>
      <c r="S113" t="str">
        <f t="shared" si="12"/>
        <v/>
      </c>
      <c r="T113" t="str">
        <f t="shared" si="13"/>
        <v/>
      </c>
      <c r="X113">
        <v>5443</v>
      </c>
      <c r="Y113" t="s">
        <v>988</v>
      </c>
      <c r="AA113" t="str">
        <f t="shared" si="14"/>
        <v>54</v>
      </c>
      <c r="AB113" t="str">
        <f t="shared" si="15"/>
        <v>544</v>
      </c>
      <c r="AD113" t="s">
        <v>1624</v>
      </c>
      <c r="AE113" t="s">
        <v>1625</v>
      </c>
      <c r="AF113" t="str">
        <f t="shared" si="19"/>
        <v>A679072</v>
      </c>
      <c r="AG113" t="str">
        <f>VLOOKUP(AF113,AKT!$C$4:$E$324,3,FALSE)</f>
        <v>0942</v>
      </c>
    </row>
    <row r="114" spans="1:33">
      <c r="A114" s="69"/>
      <c r="B114" s="64" t="str">
        <f t="shared" si="16"/>
        <v/>
      </c>
      <c r="C114" s="69"/>
      <c r="D114" s="64" t="str">
        <f t="shared" si="17"/>
        <v/>
      </c>
      <c r="E114" s="102"/>
      <c r="F114" s="64" t="str">
        <f t="shared" si="20"/>
        <v/>
      </c>
      <c r="G114" s="64" t="str">
        <f t="shared" si="18"/>
        <v/>
      </c>
      <c r="H114" s="101"/>
      <c r="I114" s="101"/>
      <c r="J114" s="101"/>
      <c r="K114" s="112"/>
      <c r="L114" s="111"/>
      <c r="M114" s="111"/>
      <c r="N114" s="112"/>
      <c r="O114" s="235"/>
      <c r="P114" s="68"/>
      <c r="R114" t="str">
        <f t="shared" si="11"/>
        <v/>
      </c>
      <c r="S114" t="str">
        <f t="shared" si="12"/>
        <v/>
      </c>
      <c r="T114" t="str">
        <f t="shared" si="13"/>
        <v/>
      </c>
      <c r="X114">
        <v>5121</v>
      </c>
      <c r="Y114" t="s">
        <v>991</v>
      </c>
      <c r="AA114" t="str">
        <f t="shared" si="14"/>
        <v>51</v>
      </c>
      <c r="AB114" t="str">
        <f t="shared" si="15"/>
        <v>512</v>
      </c>
      <c r="AD114" t="s">
        <v>1626</v>
      </c>
      <c r="AE114" t="s">
        <v>1627</v>
      </c>
      <c r="AF114" t="str">
        <f t="shared" si="19"/>
        <v>A679072</v>
      </c>
      <c r="AG114" t="str">
        <f>VLOOKUP(AF114,AKT!$C$4:$E$324,3,FALSE)</f>
        <v>0942</v>
      </c>
    </row>
    <row r="115" spans="1:33">
      <c r="A115" s="69"/>
      <c r="B115" s="64" t="str">
        <f t="shared" si="16"/>
        <v/>
      </c>
      <c r="C115" s="69"/>
      <c r="D115" s="64" t="str">
        <f t="shared" si="17"/>
        <v/>
      </c>
      <c r="E115" s="102"/>
      <c r="F115" s="64" t="str">
        <f t="shared" si="20"/>
        <v/>
      </c>
      <c r="G115" s="64" t="str">
        <f t="shared" si="18"/>
        <v/>
      </c>
      <c r="H115" s="101"/>
      <c r="I115" s="101"/>
      <c r="J115" s="101"/>
      <c r="K115" s="112"/>
      <c r="L115" s="111"/>
      <c r="M115" s="111"/>
      <c r="N115" s="112"/>
      <c r="O115" s="235"/>
      <c r="P115" s="68"/>
      <c r="R115" t="str">
        <f t="shared" si="11"/>
        <v/>
      </c>
      <c r="S115" t="str">
        <f t="shared" si="12"/>
        <v/>
      </c>
      <c r="T115" t="str">
        <f t="shared" si="13"/>
        <v/>
      </c>
      <c r="X115">
        <v>5122</v>
      </c>
      <c r="Y115" t="s">
        <v>994</v>
      </c>
      <c r="AA115" t="str">
        <f t="shared" si="14"/>
        <v>51</v>
      </c>
      <c r="AB115" t="str">
        <f t="shared" si="15"/>
        <v>512</v>
      </c>
      <c r="AD115" t="s">
        <v>1628</v>
      </c>
      <c r="AE115" t="s">
        <v>1629</v>
      </c>
      <c r="AF115" t="str">
        <f t="shared" si="19"/>
        <v>A679072</v>
      </c>
      <c r="AG115" t="str">
        <f>VLOOKUP(AF115,AKT!$C$4:$E$324,3,FALSE)</f>
        <v>0942</v>
      </c>
    </row>
    <row r="116" spans="1:33">
      <c r="A116" s="69"/>
      <c r="B116" s="64" t="str">
        <f t="shared" si="16"/>
        <v/>
      </c>
      <c r="C116" s="69"/>
      <c r="D116" s="64" t="str">
        <f t="shared" si="17"/>
        <v/>
      </c>
      <c r="E116" s="102"/>
      <c r="F116" s="64" t="str">
        <f t="shared" si="20"/>
        <v/>
      </c>
      <c r="G116" s="64" t="str">
        <f t="shared" si="18"/>
        <v/>
      </c>
      <c r="H116" s="101"/>
      <c r="I116" s="101"/>
      <c r="J116" s="101"/>
      <c r="K116" s="112"/>
      <c r="L116" s="111"/>
      <c r="M116" s="111"/>
      <c r="N116" s="112"/>
      <c r="O116" s="235"/>
      <c r="P116" s="68"/>
      <c r="R116" t="str">
        <f t="shared" si="11"/>
        <v/>
      </c>
      <c r="S116" t="str">
        <f t="shared" si="12"/>
        <v/>
      </c>
      <c r="T116" t="str">
        <f t="shared" si="13"/>
        <v/>
      </c>
      <c r="X116">
        <v>5141</v>
      </c>
      <c r="Y116" t="s">
        <v>997</v>
      </c>
      <c r="AA116" t="str">
        <f t="shared" si="14"/>
        <v>51</v>
      </c>
      <c r="AB116" t="str">
        <f t="shared" si="15"/>
        <v>514</v>
      </c>
      <c r="AD116" t="s">
        <v>1630</v>
      </c>
      <c r="AE116" t="s">
        <v>1631</v>
      </c>
      <c r="AF116" t="str">
        <f t="shared" si="19"/>
        <v>A679072</v>
      </c>
      <c r="AG116" t="str">
        <f>VLOOKUP(AF116,AKT!$C$4:$E$324,3,FALSE)</f>
        <v>0942</v>
      </c>
    </row>
    <row r="117" spans="1:33">
      <c r="A117" s="69"/>
      <c r="B117" s="64" t="str">
        <f t="shared" si="16"/>
        <v/>
      </c>
      <c r="C117" s="69"/>
      <c r="D117" s="64" t="str">
        <f t="shared" si="17"/>
        <v/>
      </c>
      <c r="E117" s="102"/>
      <c r="F117" s="64" t="str">
        <f t="shared" si="20"/>
        <v/>
      </c>
      <c r="G117" s="64" t="str">
        <f t="shared" si="18"/>
        <v/>
      </c>
      <c r="H117" s="101"/>
      <c r="I117" s="101"/>
      <c r="J117" s="101"/>
      <c r="K117" s="112"/>
      <c r="L117" s="111"/>
      <c r="M117" s="111"/>
      <c r="N117" s="112"/>
      <c r="O117" s="235"/>
      <c r="P117" s="68"/>
      <c r="R117" t="str">
        <f t="shared" si="11"/>
        <v/>
      </c>
      <c r="S117" t="str">
        <f t="shared" si="12"/>
        <v/>
      </c>
      <c r="T117" t="str">
        <f t="shared" si="13"/>
        <v/>
      </c>
      <c r="X117">
        <v>5181</v>
      </c>
      <c r="Y117" t="s">
        <v>1000</v>
      </c>
      <c r="AA117" t="str">
        <f t="shared" si="14"/>
        <v>51</v>
      </c>
      <c r="AB117" t="str">
        <f t="shared" si="15"/>
        <v>518</v>
      </c>
      <c r="AD117" t="s">
        <v>1632</v>
      </c>
      <c r="AE117" t="s">
        <v>1633</v>
      </c>
      <c r="AF117" t="str">
        <f t="shared" si="19"/>
        <v>A679072</v>
      </c>
      <c r="AG117" t="str">
        <f>VLOOKUP(AF117,AKT!$C$4:$E$324,3,FALSE)</f>
        <v>0942</v>
      </c>
    </row>
    <row r="118" spans="1:33">
      <c r="A118" s="69"/>
      <c r="B118" s="64" t="str">
        <f t="shared" si="16"/>
        <v/>
      </c>
      <c r="C118" s="69"/>
      <c r="D118" s="64" t="str">
        <f t="shared" si="17"/>
        <v/>
      </c>
      <c r="E118" s="102"/>
      <c r="F118" s="64" t="str">
        <f t="shared" si="20"/>
        <v/>
      </c>
      <c r="G118" s="64" t="str">
        <f t="shared" si="18"/>
        <v/>
      </c>
      <c r="H118" s="101"/>
      <c r="I118" s="101"/>
      <c r="J118" s="101"/>
      <c r="K118" s="112"/>
      <c r="L118" s="111"/>
      <c r="M118" s="111"/>
      <c r="N118" s="112"/>
      <c r="O118" s="235"/>
      <c r="P118" s="68"/>
      <c r="R118" t="str">
        <f t="shared" si="11"/>
        <v/>
      </c>
      <c r="S118" t="str">
        <f t="shared" si="12"/>
        <v/>
      </c>
      <c r="T118" t="str">
        <f t="shared" si="13"/>
        <v/>
      </c>
      <c r="X118">
        <v>5183</v>
      </c>
      <c r="Y118" t="s">
        <v>1003</v>
      </c>
      <c r="AA118" t="str">
        <f t="shared" si="14"/>
        <v>51</v>
      </c>
      <c r="AB118" t="str">
        <f t="shared" si="15"/>
        <v>518</v>
      </c>
      <c r="AD118" t="s">
        <v>1634</v>
      </c>
      <c r="AE118" t="s">
        <v>1635</v>
      </c>
      <c r="AF118" t="str">
        <f t="shared" si="19"/>
        <v>A679072</v>
      </c>
      <c r="AG118" t="str">
        <f>VLOOKUP(AF118,AKT!$C$4:$E$324,3,FALSE)</f>
        <v>0942</v>
      </c>
    </row>
    <row r="119" spans="1:33">
      <c r="A119" s="69"/>
      <c r="B119" s="64" t="str">
        <f t="shared" si="16"/>
        <v/>
      </c>
      <c r="C119" s="69"/>
      <c r="D119" s="64" t="str">
        <f t="shared" si="17"/>
        <v/>
      </c>
      <c r="E119" s="102"/>
      <c r="F119" s="64" t="str">
        <f t="shared" si="20"/>
        <v/>
      </c>
      <c r="G119" s="64" t="str">
        <f t="shared" si="18"/>
        <v/>
      </c>
      <c r="H119" s="101"/>
      <c r="I119" s="101"/>
      <c r="J119" s="101"/>
      <c r="K119" s="112"/>
      <c r="L119" s="111"/>
      <c r="M119" s="111"/>
      <c r="N119" s="112"/>
      <c r="O119" s="235"/>
      <c r="P119" s="68"/>
      <c r="R119" t="str">
        <f t="shared" si="11"/>
        <v/>
      </c>
      <c r="S119" t="str">
        <f t="shared" si="12"/>
        <v/>
      </c>
      <c r="T119" t="str">
        <f t="shared" si="13"/>
        <v/>
      </c>
      <c r="X119">
        <v>5422</v>
      </c>
      <c r="Y119" t="s">
        <v>1006</v>
      </c>
      <c r="AA119" t="str">
        <f t="shared" si="14"/>
        <v>54</v>
      </c>
      <c r="AB119" t="str">
        <f t="shared" si="15"/>
        <v>542</v>
      </c>
      <c r="AD119" t="s">
        <v>1636</v>
      </c>
      <c r="AE119" t="s">
        <v>1637</v>
      </c>
      <c r="AF119" t="str">
        <f t="shared" si="19"/>
        <v>A679072</v>
      </c>
      <c r="AG119" t="str">
        <f>VLOOKUP(AF119,AKT!$C$4:$E$324,3,FALSE)</f>
        <v>0942</v>
      </c>
    </row>
    <row r="120" spans="1:33">
      <c r="A120" s="69"/>
      <c r="B120" s="64" t="str">
        <f t="shared" si="16"/>
        <v/>
      </c>
      <c r="C120" s="69"/>
      <c r="D120" s="64" t="str">
        <f t="shared" si="17"/>
        <v/>
      </c>
      <c r="E120" s="102"/>
      <c r="F120" s="64" t="str">
        <f t="shared" si="20"/>
        <v/>
      </c>
      <c r="G120" s="64" t="str">
        <f t="shared" si="18"/>
        <v/>
      </c>
      <c r="H120" s="101"/>
      <c r="I120" s="101"/>
      <c r="J120" s="101"/>
      <c r="K120" s="112"/>
      <c r="L120" s="111"/>
      <c r="M120" s="111"/>
      <c r="N120" s="112"/>
      <c r="O120" s="235"/>
      <c r="P120" s="68"/>
      <c r="R120" t="str">
        <f t="shared" si="11"/>
        <v/>
      </c>
      <c r="S120" t="str">
        <f t="shared" si="12"/>
        <v/>
      </c>
      <c r="T120" t="str">
        <f t="shared" si="13"/>
        <v/>
      </c>
      <c r="X120">
        <v>5431</v>
      </c>
      <c r="Y120" t="s">
        <v>1009</v>
      </c>
      <c r="AA120" t="str">
        <f t="shared" si="14"/>
        <v>54</v>
      </c>
      <c r="AB120" t="str">
        <f t="shared" si="15"/>
        <v>543</v>
      </c>
      <c r="AD120" t="s">
        <v>1638</v>
      </c>
      <c r="AE120" t="s">
        <v>1639</v>
      </c>
      <c r="AF120" t="str">
        <f t="shared" si="19"/>
        <v>A679072</v>
      </c>
      <c r="AG120" t="str">
        <f>VLOOKUP(AF120,AKT!$C$4:$E$324,3,FALSE)</f>
        <v>0942</v>
      </c>
    </row>
    <row r="121" spans="1:33">
      <c r="A121" s="69"/>
      <c r="B121" s="64" t="str">
        <f t="shared" si="16"/>
        <v/>
      </c>
      <c r="C121" s="69"/>
      <c r="D121" s="64" t="str">
        <f t="shared" si="17"/>
        <v/>
      </c>
      <c r="E121" s="102"/>
      <c r="F121" s="64" t="str">
        <f t="shared" si="20"/>
        <v/>
      </c>
      <c r="G121" s="64" t="str">
        <f t="shared" si="18"/>
        <v/>
      </c>
      <c r="H121" s="101"/>
      <c r="I121" s="101"/>
      <c r="J121" s="101"/>
      <c r="K121" s="112"/>
      <c r="L121" s="111"/>
      <c r="M121" s="111"/>
      <c r="N121" s="112"/>
      <c r="O121" s="235"/>
      <c r="P121" s="68"/>
      <c r="R121" t="str">
        <f t="shared" si="11"/>
        <v/>
      </c>
      <c r="S121" t="str">
        <f t="shared" si="12"/>
        <v/>
      </c>
      <c r="T121" t="str">
        <f t="shared" si="13"/>
        <v/>
      </c>
      <c r="X121">
        <v>5443</v>
      </c>
      <c r="Y121" t="s">
        <v>1012</v>
      </c>
      <c r="AA121" t="str">
        <f t="shared" si="14"/>
        <v>54</v>
      </c>
      <c r="AB121" t="str">
        <f t="shared" si="15"/>
        <v>544</v>
      </c>
      <c r="AD121" t="s">
        <v>1640</v>
      </c>
      <c r="AE121" t="s">
        <v>1641</v>
      </c>
      <c r="AF121" t="str">
        <f t="shared" si="19"/>
        <v>A679072</v>
      </c>
      <c r="AG121" t="str">
        <f>VLOOKUP(AF121,AKT!$C$4:$E$324,3,FALSE)</f>
        <v>0942</v>
      </c>
    </row>
    <row r="122" spans="1:33">
      <c r="A122" s="69"/>
      <c r="B122" s="64" t="str">
        <f t="shared" si="16"/>
        <v/>
      </c>
      <c r="C122" s="69"/>
      <c r="D122" s="64" t="str">
        <f t="shared" si="17"/>
        <v/>
      </c>
      <c r="E122" s="102"/>
      <c r="F122" s="64" t="str">
        <f t="shared" si="20"/>
        <v/>
      </c>
      <c r="G122" s="64" t="str">
        <f t="shared" si="18"/>
        <v/>
      </c>
      <c r="H122" s="101"/>
      <c r="I122" s="101"/>
      <c r="J122" s="101"/>
      <c r="K122" s="112"/>
      <c r="L122" s="111"/>
      <c r="M122" s="111"/>
      <c r="N122" s="112"/>
      <c r="O122" s="235"/>
      <c r="P122" s="68"/>
      <c r="R122" t="str">
        <f t="shared" si="11"/>
        <v/>
      </c>
      <c r="S122" t="str">
        <f t="shared" si="12"/>
        <v/>
      </c>
      <c r="T122" t="str">
        <f t="shared" si="13"/>
        <v/>
      </c>
      <c r="X122">
        <v>5445</v>
      </c>
      <c r="Y122" t="s">
        <v>1015</v>
      </c>
      <c r="AA122" t="str">
        <f t="shared" si="14"/>
        <v>54</v>
      </c>
      <c r="AB122" t="str">
        <f t="shared" si="15"/>
        <v>544</v>
      </c>
      <c r="AD122" t="s">
        <v>1642</v>
      </c>
      <c r="AE122" t="s">
        <v>1643</v>
      </c>
      <c r="AF122" t="str">
        <f t="shared" si="19"/>
        <v>A679072</v>
      </c>
      <c r="AG122" t="str">
        <f>VLOOKUP(AF122,AKT!$C$4:$E$324,3,FALSE)</f>
        <v>0942</v>
      </c>
    </row>
    <row r="123" spans="1:33">
      <c r="A123" s="69"/>
      <c r="B123" s="64" t="str">
        <f t="shared" si="16"/>
        <v/>
      </c>
      <c r="C123" s="69"/>
      <c r="D123" s="64" t="str">
        <f t="shared" si="17"/>
        <v/>
      </c>
      <c r="E123" s="102"/>
      <c r="F123" s="64" t="str">
        <f t="shared" si="20"/>
        <v/>
      </c>
      <c r="G123" s="64" t="str">
        <f t="shared" si="18"/>
        <v/>
      </c>
      <c r="H123" s="101"/>
      <c r="I123" s="101"/>
      <c r="J123" s="101"/>
      <c r="K123" s="112"/>
      <c r="L123" s="111"/>
      <c r="M123" s="111"/>
      <c r="N123" s="112"/>
      <c r="O123" s="235"/>
      <c r="P123" s="68"/>
      <c r="R123" t="str">
        <f t="shared" si="11"/>
        <v/>
      </c>
      <c r="S123" t="str">
        <f t="shared" si="12"/>
        <v/>
      </c>
      <c r="T123" t="str">
        <f t="shared" si="13"/>
        <v/>
      </c>
      <c r="X123">
        <v>5453</v>
      </c>
      <c r="Y123" t="s">
        <v>1018</v>
      </c>
      <c r="AA123" t="str">
        <f t="shared" si="14"/>
        <v>54</v>
      </c>
      <c r="AB123" t="str">
        <f t="shared" si="15"/>
        <v>545</v>
      </c>
      <c r="AD123" t="s">
        <v>1644</v>
      </c>
      <c r="AE123" t="s">
        <v>1645</v>
      </c>
      <c r="AF123" t="str">
        <f t="shared" si="19"/>
        <v>A679072</v>
      </c>
      <c r="AG123" t="str">
        <f>VLOOKUP(AF123,AKT!$C$4:$E$324,3,FALSE)</f>
        <v>0942</v>
      </c>
    </row>
    <row r="124" spans="1:33">
      <c r="A124" s="69"/>
      <c r="B124" s="64" t="str">
        <f t="shared" si="16"/>
        <v/>
      </c>
      <c r="C124" s="69"/>
      <c r="D124" s="64" t="str">
        <f t="shared" si="17"/>
        <v/>
      </c>
      <c r="E124" s="102"/>
      <c r="F124" s="64" t="str">
        <f t="shared" si="20"/>
        <v/>
      </c>
      <c r="G124" s="64" t="str">
        <f t="shared" si="18"/>
        <v/>
      </c>
      <c r="H124" s="101"/>
      <c r="I124" s="101"/>
      <c r="J124" s="101"/>
      <c r="K124" s="112"/>
      <c r="L124" s="111"/>
      <c r="M124" s="111"/>
      <c r="N124" s="112"/>
      <c r="O124" s="235"/>
      <c r="P124" s="68"/>
      <c r="R124" t="str">
        <f t="shared" si="11"/>
        <v/>
      </c>
      <c r="S124" t="str">
        <f t="shared" si="12"/>
        <v/>
      </c>
      <c r="T124" t="str">
        <f t="shared" si="13"/>
        <v/>
      </c>
      <c r="X124">
        <v>5472</v>
      </c>
      <c r="Y124" t="s">
        <v>1021</v>
      </c>
      <c r="AA124" t="str">
        <f t="shared" si="14"/>
        <v>54</v>
      </c>
      <c r="AB124" t="str">
        <f t="shared" si="15"/>
        <v>547</v>
      </c>
      <c r="AD124" t="s">
        <v>1646</v>
      </c>
      <c r="AE124" t="s">
        <v>1647</v>
      </c>
      <c r="AF124" t="str">
        <f t="shared" si="19"/>
        <v>A679072</v>
      </c>
      <c r="AG124" t="str">
        <f>VLOOKUP(AF124,AKT!$C$4:$E$324,3,FALSE)</f>
        <v>0942</v>
      </c>
    </row>
    <row r="125" spans="1:33">
      <c r="A125" s="69"/>
      <c r="B125" s="64" t="str">
        <f t="shared" si="16"/>
        <v/>
      </c>
      <c r="C125" s="69"/>
      <c r="D125" s="64" t="str">
        <f t="shared" si="17"/>
        <v/>
      </c>
      <c r="E125" s="102"/>
      <c r="F125" s="64" t="str">
        <f t="shared" si="20"/>
        <v/>
      </c>
      <c r="G125" s="64" t="str">
        <f t="shared" si="18"/>
        <v/>
      </c>
      <c r="H125" s="101"/>
      <c r="I125" s="101"/>
      <c r="J125" s="101"/>
      <c r="K125" s="112"/>
      <c r="L125" s="111"/>
      <c r="M125" s="111"/>
      <c r="N125" s="112"/>
      <c r="O125" s="235"/>
      <c r="P125" s="68"/>
      <c r="R125" t="str">
        <f t="shared" si="11"/>
        <v/>
      </c>
      <c r="S125" t="str">
        <f t="shared" si="12"/>
        <v/>
      </c>
      <c r="T125" t="str">
        <f t="shared" si="13"/>
        <v/>
      </c>
      <c r="AD125" t="s">
        <v>1648</v>
      </c>
      <c r="AE125" t="s">
        <v>1649</v>
      </c>
      <c r="AF125" t="str">
        <f t="shared" si="19"/>
        <v>A679072</v>
      </c>
      <c r="AG125" t="str">
        <f>VLOOKUP(AF125,AKT!$C$4:$E$324,3,FALSE)</f>
        <v>0942</v>
      </c>
    </row>
    <row r="126" spans="1:33">
      <c r="A126" s="69"/>
      <c r="B126" s="64" t="str">
        <f t="shared" si="16"/>
        <v/>
      </c>
      <c r="C126" s="69"/>
      <c r="D126" s="64" t="str">
        <f t="shared" si="17"/>
        <v/>
      </c>
      <c r="E126" s="102"/>
      <c r="F126" s="64" t="str">
        <f t="shared" si="20"/>
        <v/>
      </c>
      <c r="G126" s="64" t="str">
        <f t="shared" si="18"/>
        <v/>
      </c>
      <c r="H126" s="101"/>
      <c r="I126" s="101"/>
      <c r="J126" s="101"/>
      <c r="K126" s="112"/>
      <c r="L126" s="111"/>
      <c r="M126" s="111"/>
      <c r="N126" s="112"/>
      <c r="O126" s="235"/>
      <c r="P126" s="68"/>
      <c r="R126" t="str">
        <f t="shared" si="11"/>
        <v/>
      </c>
      <c r="S126" t="str">
        <f t="shared" si="12"/>
        <v/>
      </c>
      <c r="T126" t="str">
        <f t="shared" si="13"/>
        <v/>
      </c>
      <c r="AD126" t="s">
        <v>1650</v>
      </c>
      <c r="AE126" t="s">
        <v>1651</v>
      </c>
      <c r="AF126" t="str">
        <f t="shared" si="19"/>
        <v>A679072</v>
      </c>
      <c r="AG126" t="str">
        <f>VLOOKUP(AF126,AKT!$C$4:$E$324,3,FALSE)</f>
        <v>0942</v>
      </c>
    </row>
    <row r="127" spans="1:33">
      <c r="A127" s="69"/>
      <c r="B127" s="64" t="str">
        <f t="shared" si="16"/>
        <v/>
      </c>
      <c r="C127" s="69"/>
      <c r="D127" s="64" t="str">
        <f t="shared" si="17"/>
        <v/>
      </c>
      <c r="E127" s="102"/>
      <c r="F127" s="64" t="str">
        <f t="shared" si="20"/>
        <v/>
      </c>
      <c r="G127" s="64" t="str">
        <f t="shared" si="18"/>
        <v/>
      </c>
      <c r="H127" s="101"/>
      <c r="I127" s="101"/>
      <c r="J127" s="101"/>
      <c r="K127" s="112"/>
      <c r="L127" s="111"/>
      <c r="M127" s="111"/>
      <c r="N127" s="112"/>
      <c r="O127" s="235"/>
      <c r="P127" s="68"/>
      <c r="R127" t="str">
        <f t="shared" ref="R127:R190" si="21">LEFT(C127,3)</f>
        <v/>
      </c>
      <c r="S127" t="str">
        <f t="shared" ref="S127:S190" si="22">LEFT(C127,2)</f>
        <v/>
      </c>
      <c r="T127" t="str">
        <f t="shared" ref="T127:T190" si="23">MID(G127,2,2)</f>
        <v/>
      </c>
      <c r="AD127" t="s">
        <v>1652</v>
      </c>
      <c r="AE127" t="s">
        <v>1653</v>
      </c>
      <c r="AF127" t="str">
        <f t="shared" si="19"/>
        <v>A679072</v>
      </c>
      <c r="AG127" t="str">
        <f>VLOOKUP(AF127,AKT!$C$4:$E$324,3,FALSE)</f>
        <v>0942</v>
      </c>
    </row>
    <row r="128" spans="1:33">
      <c r="A128" s="69"/>
      <c r="B128" s="64" t="str">
        <f t="shared" si="16"/>
        <v/>
      </c>
      <c r="C128" s="69"/>
      <c r="D128" s="64" t="str">
        <f t="shared" si="17"/>
        <v/>
      </c>
      <c r="E128" s="102"/>
      <c r="F128" s="64" t="str">
        <f t="shared" si="20"/>
        <v/>
      </c>
      <c r="G128" s="64" t="str">
        <f t="shared" si="18"/>
        <v/>
      </c>
      <c r="H128" s="101"/>
      <c r="I128" s="101"/>
      <c r="J128" s="101"/>
      <c r="K128" s="112"/>
      <c r="L128" s="111"/>
      <c r="M128" s="111"/>
      <c r="N128" s="112"/>
      <c r="O128" s="235"/>
      <c r="P128" s="68"/>
      <c r="R128" t="str">
        <f t="shared" si="21"/>
        <v/>
      </c>
      <c r="S128" t="str">
        <f t="shared" si="22"/>
        <v/>
      </c>
      <c r="T128" t="str">
        <f t="shared" si="23"/>
        <v/>
      </c>
      <c r="AD128" t="s">
        <v>1654</v>
      </c>
      <c r="AE128" t="s">
        <v>1655</v>
      </c>
      <c r="AF128" t="str">
        <f t="shared" si="19"/>
        <v>A679072</v>
      </c>
      <c r="AG128" t="str">
        <f>VLOOKUP(AF128,AKT!$C$4:$E$324,3,FALSE)</f>
        <v>0942</v>
      </c>
    </row>
    <row r="129" spans="1:33">
      <c r="A129" s="69"/>
      <c r="B129" s="64" t="str">
        <f t="shared" si="16"/>
        <v/>
      </c>
      <c r="C129" s="69"/>
      <c r="D129" s="64" t="str">
        <f t="shared" si="17"/>
        <v/>
      </c>
      <c r="E129" s="102"/>
      <c r="F129" s="64" t="str">
        <f t="shared" si="20"/>
        <v/>
      </c>
      <c r="G129" s="64" t="str">
        <f t="shared" si="18"/>
        <v/>
      </c>
      <c r="H129" s="101"/>
      <c r="I129" s="101"/>
      <c r="J129" s="101"/>
      <c r="K129" s="112"/>
      <c r="L129" s="111"/>
      <c r="M129" s="111"/>
      <c r="N129" s="112"/>
      <c r="O129" s="235"/>
      <c r="P129" s="68"/>
      <c r="R129" t="str">
        <f t="shared" si="21"/>
        <v/>
      </c>
      <c r="S129" t="str">
        <f t="shared" si="22"/>
        <v/>
      </c>
      <c r="T129" t="str">
        <f t="shared" si="23"/>
        <v/>
      </c>
      <c r="AD129" t="s">
        <v>1656</v>
      </c>
      <c r="AE129" t="s">
        <v>1657</v>
      </c>
      <c r="AF129" t="str">
        <f t="shared" si="19"/>
        <v>A679072</v>
      </c>
      <c r="AG129" t="str">
        <f>VLOOKUP(AF129,AKT!$C$4:$E$324,3,FALSE)</f>
        <v>0942</v>
      </c>
    </row>
    <row r="130" spans="1:33">
      <c r="A130" s="69"/>
      <c r="B130" s="64" t="str">
        <f t="shared" si="16"/>
        <v/>
      </c>
      <c r="C130" s="69"/>
      <c r="D130" s="64" t="str">
        <f t="shared" si="17"/>
        <v/>
      </c>
      <c r="E130" s="102"/>
      <c r="F130" s="64" t="str">
        <f t="shared" si="20"/>
        <v/>
      </c>
      <c r="G130" s="64" t="str">
        <f t="shared" si="18"/>
        <v/>
      </c>
      <c r="H130" s="101"/>
      <c r="I130" s="101"/>
      <c r="J130" s="101"/>
      <c r="K130" s="112"/>
      <c r="L130" s="111"/>
      <c r="M130" s="111"/>
      <c r="N130" s="112"/>
      <c r="O130" s="235"/>
      <c r="P130" s="68"/>
      <c r="R130" t="str">
        <f t="shared" si="21"/>
        <v/>
      </c>
      <c r="S130" t="str">
        <f t="shared" si="22"/>
        <v/>
      </c>
      <c r="T130" t="str">
        <f t="shared" si="23"/>
        <v/>
      </c>
      <c r="AD130" t="s">
        <v>1658</v>
      </c>
      <c r="AE130" t="s">
        <v>1659</v>
      </c>
      <c r="AF130" t="str">
        <f t="shared" si="19"/>
        <v>A679072</v>
      </c>
      <c r="AG130" t="str">
        <f>VLOOKUP(AF130,AKT!$C$4:$E$324,3,FALSE)</f>
        <v>0942</v>
      </c>
    </row>
    <row r="131" spans="1:33">
      <c r="A131" s="69"/>
      <c r="B131" s="64" t="str">
        <f t="shared" ref="B131:B194" si="24">IFERROR(VLOOKUP(A131,$U$6:$V$23,2,FALSE),"")</f>
        <v/>
      </c>
      <c r="C131" s="69"/>
      <c r="D131" s="64" t="str">
        <f t="shared" ref="D131:D194" si="25">IFERROR(VLOOKUP(C131,$X$5:$Z$124,2,FALSE),"")</f>
        <v/>
      </c>
      <c r="E131" s="102"/>
      <c r="F131" s="64" t="str">
        <f t="shared" si="20"/>
        <v/>
      </c>
      <c r="G131" s="64" t="str">
        <f t="shared" ref="G131:G194" si="26">IFERROR(VLOOKUP(E131,$AD$6:$AG$1085,4,FALSE),"")</f>
        <v/>
      </c>
      <c r="H131" s="101"/>
      <c r="I131" s="101"/>
      <c r="J131" s="101"/>
      <c r="K131" s="112"/>
      <c r="L131" s="111"/>
      <c r="M131" s="111"/>
      <c r="N131" s="112"/>
      <c r="O131" s="235"/>
      <c r="P131" s="68"/>
      <c r="R131" t="str">
        <f t="shared" si="21"/>
        <v/>
      </c>
      <c r="S131" t="str">
        <f t="shared" si="22"/>
        <v/>
      </c>
      <c r="T131" t="str">
        <f t="shared" si="23"/>
        <v/>
      </c>
      <c r="AD131" t="s">
        <v>1660</v>
      </c>
      <c r="AE131" t="s">
        <v>1661</v>
      </c>
      <c r="AF131" t="str">
        <f t="shared" ref="AF131:AF194" si="27">LEFT(AD131,7)</f>
        <v>A679072</v>
      </c>
      <c r="AG131" t="str">
        <f>VLOOKUP(AF131,AKT!$C$4:$E$324,3,FALSE)</f>
        <v>0942</v>
      </c>
    </row>
    <row r="132" spans="1:33">
      <c r="A132" s="69"/>
      <c r="B132" s="64" t="str">
        <f t="shared" si="24"/>
        <v/>
      </c>
      <c r="C132" s="69"/>
      <c r="D132" s="64" t="str">
        <f t="shared" si="25"/>
        <v/>
      </c>
      <c r="E132" s="102"/>
      <c r="F132" s="64" t="str">
        <f t="shared" si="20"/>
        <v/>
      </c>
      <c r="G132" s="64" t="str">
        <f t="shared" si="26"/>
        <v/>
      </c>
      <c r="H132" s="101"/>
      <c r="I132" s="101"/>
      <c r="J132" s="101"/>
      <c r="K132" s="112"/>
      <c r="L132" s="111"/>
      <c r="M132" s="111"/>
      <c r="N132" s="112"/>
      <c r="O132" s="235"/>
      <c r="P132" s="68"/>
      <c r="R132" t="str">
        <f t="shared" si="21"/>
        <v/>
      </c>
      <c r="S132" t="str">
        <f t="shared" si="22"/>
        <v/>
      </c>
      <c r="T132" t="str">
        <f t="shared" si="23"/>
        <v/>
      </c>
      <c r="AD132" t="s">
        <v>1662</v>
      </c>
      <c r="AE132" t="s">
        <v>1663</v>
      </c>
      <c r="AF132" t="str">
        <f t="shared" si="27"/>
        <v>A679072</v>
      </c>
      <c r="AG132" t="str">
        <f>VLOOKUP(AF132,AKT!$C$4:$E$324,3,FALSE)</f>
        <v>0942</v>
      </c>
    </row>
    <row r="133" spans="1:33">
      <c r="A133" s="69"/>
      <c r="B133" s="64" t="str">
        <f t="shared" si="24"/>
        <v/>
      </c>
      <c r="C133" s="69"/>
      <c r="D133" s="64" t="str">
        <f t="shared" si="25"/>
        <v/>
      </c>
      <c r="E133" s="102"/>
      <c r="F133" s="64" t="str">
        <f t="shared" si="20"/>
        <v/>
      </c>
      <c r="G133" s="64" t="str">
        <f t="shared" si="26"/>
        <v/>
      </c>
      <c r="H133" s="101"/>
      <c r="I133" s="101"/>
      <c r="J133" s="101"/>
      <c r="K133" s="112"/>
      <c r="L133" s="111"/>
      <c r="M133" s="111"/>
      <c r="N133" s="112"/>
      <c r="O133" s="235"/>
      <c r="P133" s="68"/>
      <c r="R133" t="str">
        <f t="shared" si="21"/>
        <v/>
      </c>
      <c r="S133" t="str">
        <f t="shared" si="22"/>
        <v/>
      </c>
      <c r="T133" t="str">
        <f t="shared" si="23"/>
        <v/>
      </c>
      <c r="AD133" t="s">
        <v>1664</v>
      </c>
      <c r="AE133" t="s">
        <v>1665</v>
      </c>
      <c r="AF133" t="str">
        <f t="shared" si="27"/>
        <v>A679072</v>
      </c>
      <c r="AG133" t="str">
        <f>VLOOKUP(AF133,AKT!$C$4:$E$324,3,FALSE)</f>
        <v>0942</v>
      </c>
    </row>
    <row r="134" spans="1:33">
      <c r="A134" s="69"/>
      <c r="B134" s="64" t="str">
        <f t="shared" si="24"/>
        <v/>
      </c>
      <c r="C134" s="69"/>
      <c r="D134" s="64" t="str">
        <f t="shared" si="25"/>
        <v/>
      </c>
      <c r="E134" s="102"/>
      <c r="F134" s="64" t="str">
        <f t="shared" si="20"/>
        <v/>
      </c>
      <c r="G134" s="64" t="str">
        <f t="shared" si="26"/>
        <v/>
      </c>
      <c r="H134" s="101"/>
      <c r="I134" s="101"/>
      <c r="J134" s="101"/>
      <c r="K134" s="112"/>
      <c r="L134" s="111"/>
      <c r="M134" s="111"/>
      <c r="N134" s="112"/>
      <c r="O134" s="235"/>
      <c r="P134" s="68"/>
      <c r="R134" t="str">
        <f t="shared" si="21"/>
        <v/>
      </c>
      <c r="S134" t="str">
        <f t="shared" si="22"/>
        <v/>
      </c>
      <c r="T134" t="str">
        <f t="shared" si="23"/>
        <v/>
      </c>
      <c r="AD134" t="s">
        <v>1666</v>
      </c>
      <c r="AE134" t="s">
        <v>1667</v>
      </c>
      <c r="AF134" t="str">
        <f t="shared" si="27"/>
        <v>A679072</v>
      </c>
      <c r="AG134" t="str">
        <f>VLOOKUP(AF134,AKT!$C$4:$E$324,3,FALSE)</f>
        <v>0942</v>
      </c>
    </row>
    <row r="135" spans="1:33">
      <c r="A135" s="69"/>
      <c r="B135" s="64" t="str">
        <f t="shared" si="24"/>
        <v/>
      </c>
      <c r="C135" s="69"/>
      <c r="D135" s="64" t="str">
        <f t="shared" si="25"/>
        <v/>
      </c>
      <c r="E135" s="102"/>
      <c r="F135" s="64" t="str">
        <f t="shared" si="20"/>
        <v/>
      </c>
      <c r="G135" s="64" t="str">
        <f t="shared" si="26"/>
        <v/>
      </c>
      <c r="H135" s="101"/>
      <c r="I135" s="101"/>
      <c r="J135" s="101"/>
      <c r="K135" s="112"/>
      <c r="L135" s="111"/>
      <c r="M135" s="111"/>
      <c r="N135" s="112"/>
      <c r="O135" s="235"/>
      <c r="P135" s="68"/>
      <c r="R135" t="str">
        <f t="shared" si="21"/>
        <v/>
      </c>
      <c r="S135" t="str">
        <f t="shared" si="22"/>
        <v/>
      </c>
      <c r="T135" t="str">
        <f t="shared" si="23"/>
        <v/>
      </c>
      <c r="AD135" t="s">
        <v>1668</v>
      </c>
      <c r="AE135" t="s">
        <v>1669</v>
      </c>
      <c r="AF135" t="str">
        <f t="shared" si="27"/>
        <v>A679072</v>
      </c>
      <c r="AG135" t="str">
        <f>VLOOKUP(AF135,AKT!$C$4:$E$324,3,FALSE)</f>
        <v>0942</v>
      </c>
    </row>
    <row r="136" spans="1:33">
      <c r="A136" s="69"/>
      <c r="B136" s="64" t="str">
        <f t="shared" si="24"/>
        <v/>
      </c>
      <c r="C136" s="69"/>
      <c r="D136" s="64" t="str">
        <f t="shared" si="25"/>
        <v/>
      </c>
      <c r="E136" s="102"/>
      <c r="F136" s="64" t="str">
        <f t="shared" si="20"/>
        <v/>
      </c>
      <c r="G136" s="64" t="str">
        <f t="shared" si="26"/>
        <v/>
      </c>
      <c r="H136" s="101"/>
      <c r="I136" s="101"/>
      <c r="J136" s="101"/>
      <c r="K136" s="112"/>
      <c r="L136" s="111"/>
      <c r="M136" s="111"/>
      <c r="N136" s="112"/>
      <c r="O136" s="235"/>
      <c r="P136" s="68"/>
      <c r="R136" t="str">
        <f t="shared" si="21"/>
        <v/>
      </c>
      <c r="S136" t="str">
        <f t="shared" si="22"/>
        <v/>
      </c>
      <c r="T136" t="str">
        <f t="shared" si="23"/>
        <v/>
      </c>
      <c r="AD136" t="s">
        <v>1670</v>
      </c>
      <c r="AE136" t="s">
        <v>1671</v>
      </c>
      <c r="AF136" t="str">
        <f t="shared" si="27"/>
        <v>A679072</v>
      </c>
      <c r="AG136" t="str">
        <f>VLOOKUP(AF136,AKT!$C$4:$E$324,3,FALSE)</f>
        <v>0942</v>
      </c>
    </row>
    <row r="137" spans="1:33">
      <c r="A137" s="69"/>
      <c r="B137" s="64" t="str">
        <f t="shared" si="24"/>
        <v/>
      </c>
      <c r="C137" s="69"/>
      <c r="D137" s="64" t="str">
        <f t="shared" si="25"/>
        <v/>
      </c>
      <c r="E137" s="102"/>
      <c r="F137" s="64" t="str">
        <f t="shared" si="20"/>
        <v/>
      </c>
      <c r="G137" s="64" t="str">
        <f t="shared" si="26"/>
        <v/>
      </c>
      <c r="H137" s="101"/>
      <c r="I137" s="101"/>
      <c r="J137" s="101"/>
      <c r="K137" s="112"/>
      <c r="L137" s="111"/>
      <c r="M137" s="111"/>
      <c r="N137" s="112"/>
      <c r="O137" s="235"/>
      <c r="P137" s="68"/>
      <c r="R137" t="str">
        <f t="shared" si="21"/>
        <v/>
      </c>
      <c r="S137" t="str">
        <f t="shared" si="22"/>
        <v/>
      </c>
      <c r="T137" t="str">
        <f t="shared" si="23"/>
        <v/>
      </c>
      <c r="AD137" t="s">
        <v>1672</v>
      </c>
      <c r="AE137" t="s">
        <v>1673</v>
      </c>
      <c r="AF137" t="str">
        <f t="shared" si="27"/>
        <v>A679072</v>
      </c>
      <c r="AG137" t="str">
        <f>VLOOKUP(AF137,AKT!$C$4:$E$324,3,FALSE)</f>
        <v>0942</v>
      </c>
    </row>
    <row r="138" spans="1:33">
      <c r="A138" s="69"/>
      <c r="B138" s="64" t="str">
        <f t="shared" si="24"/>
        <v/>
      </c>
      <c r="C138" s="69"/>
      <c r="D138" s="64" t="str">
        <f t="shared" si="25"/>
        <v/>
      </c>
      <c r="E138" s="102"/>
      <c r="F138" s="64" t="str">
        <f t="shared" si="20"/>
        <v/>
      </c>
      <c r="G138" s="64" t="str">
        <f t="shared" si="26"/>
        <v/>
      </c>
      <c r="H138" s="101"/>
      <c r="I138" s="101"/>
      <c r="J138" s="101"/>
      <c r="K138" s="112"/>
      <c r="L138" s="111"/>
      <c r="M138" s="111"/>
      <c r="N138" s="112"/>
      <c r="O138" s="235"/>
      <c r="P138" s="68"/>
      <c r="R138" t="str">
        <f t="shared" si="21"/>
        <v/>
      </c>
      <c r="S138" t="str">
        <f t="shared" si="22"/>
        <v/>
      </c>
      <c r="T138" t="str">
        <f t="shared" si="23"/>
        <v/>
      </c>
      <c r="AD138" t="s">
        <v>1674</v>
      </c>
      <c r="AE138" t="s">
        <v>1675</v>
      </c>
      <c r="AF138" t="str">
        <f t="shared" si="27"/>
        <v>A679072</v>
      </c>
      <c r="AG138" t="str">
        <f>VLOOKUP(AF138,AKT!$C$4:$E$324,3,FALSE)</f>
        <v>0942</v>
      </c>
    </row>
    <row r="139" spans="1:33">
      <c r="A139" s="69"/>
      <c r="B139" s="64" t="str">
        <f t="shared" si="24"/>
        <v/>
      </c>
      <c r="C139" s="69"/>
      <c r="D139" s="64" t="str">
        <f t="shared" si="25"/>
        <v/>
      </c>
      <c r="E139" s="102"/>
      <c r="F139" s="64" t="str">
        <f t="shared" si="20"/>
        <v/>
      </c>
      <c r="G139" s="64" t="str">
        <f t="shared" si="26"/>
        <v/>
      </c>
      <c r="H139" s="101"/>
      <c r="I139" s="101"/>
      <c r="J139" s="101"/>
      <c r="K139" s="112"/>
      <c r="L139" s="111"/>
      <c r="M139" s="111"/>
      <c r="N139" s="112"/>
      <c r="O139" s="235"/>
      <c r="P139" s="68"/>
      <c r="R139" t="str">
        <f t="shared" si="21"/>
        <v/>
      </c>
      <c r="S139" t="str">
        <f t="shared" si="22"/>
        <v/>
      </c>
      <c r="T139" t="str">
        <f t="shared" si="23"/>
        <v/>
      </c>
      <c r="AD139" t="s">
        <v>1676</v>
      </c>
      <c r="AE139" t="s">
        <v>1677</v>
      </c>
      <c r="AF139" t="str">
        <f t="shared" si="27"/>
        <v>A679072</v>
      </c>
      <c r="AG139" t="str">
        <f>VLOOKUP(AF139,AKT!$C$4:$E$324,3,FALSE)</f>
        <v>0942</v>
      </c>
    </row>
    <row r="140" spans="1:33">
      <c r="A140" s="69"/>
      <c r="B140" s="64" t="str">
        <f t="shared" si="24"/>
        <v/>
      </c>
      <c r="C140" s="69"/>
      <c r="D140" s="64" t="str">
        <f t="shared" si="25"/>
        <v/>
      </c>
      <c r="E140" s="102"/>
      <c r="F140" s="64" t="str">
        <f t="shared" si="20"/>
        <v/>
      </c>
      <c r="G140" s="64" t="str">
        <f t="shared" si="26"/>
        <v/>
      </c>
      <c r="H140" s="101"/>
      <c r="I140" s="101"/>
      <c r="J140" s="101"/>
      <c r="K140" s="112"/>
      <c r="L140" s="111"/>
      <c r="M140" s="111"/>
      <c r="N140" s="112"/>
      <c r="O140" s="235"/>
      <c r="P140" s="68"/>
      <c r="R140" t="str">
        <f t="shared" si="21"/>
        <v/>
      </c>
      <c r="S140" t="str">
        <f t="shared" si="22"/>
        <v/>
      </c>
      <c r="T140" t="str">
        <f t="shared" si="23"/>
        <v/>
      </c>
      <c r="AD140" t="s">
        <v>1678</v>
      </c>
      <c r="AE140" t="s">
        <v>1679</v>
      </c>
      <c r="AF140" t="str">
        <f t="shared" si="27"/>
        <v>A679072</v>
      </c>
      <c r="AG140" t="str">
        <f>VLOOKUP(AF140,AKT!$C$4:$E$324,3,FALSE)</f>
        <v>0942</v>
      </c>
    </row>
    <row r="141" spans="1:33">
      <c r="A141" s="69"/>
      <c r="B141" s="64" t="str">
        <f t="shared" si="24"/>
        <v/>
      </c>
      <c r="C141" s="69"/>
      <c r="D141" s="64" t="str">
        <f t="shared" si="25"/>
        <v/>
      </c>
      <c r="E141" s="102"/>
      <c r="F141" s="64" t="str">
        <f t="shared" si="20"/>
        <v/>
      </c>
      <c r="G141" s="64" t="str">
        <f t="shared" si="26"/>
        <v/>
      </c>
      <c r="H141" s="101"/>
      <c r="I141" s="101"/>
      <c r="J141" s="101"/>
      <c r="K141" s="112"/>
      <c r="L141" s="111"/>
      <c r="M141" s="111"/>
      <c r="N141" s="112"/>
      <c r="O141" s="235"/>
      <c r="P141" s="68"/>
      <c r="R141" t="str">
        <f t="shared" si="21"/>
        <v/>
      </c>
      <c r="S141" t="str">
        <f t="shared" si="22"/>
        <v/>
      </c>
      <c r="T141" t="str">
        <f t="shared" si="23"/>
        <v/>
      </c>
      <c r="AD141" t="s">
        <v>1680</v>
      </c>
      <c r="AE141" t="s">
        <v>1681</v>
      </c>
      <c r="AF141" t="str">
        <f t="shared" si="27"/>
        <v>A679072</v>
      </c>
      <c r="AG141" t="str">
        <f>VLOOKUP(AF141,AKT!$C$4:$E$324,3,FALSE)</f>
        <v>0942</v>
      </c>
    </row>
    <row r="142" spans="1:33">
      <c r="A142" s="69"/>
      <c r="B142" s="64" t="str">
        <f t="shared" si="24"/>
        <v/>
      </c>
      <c r="C142" s="69"/>
      <c r="D142" s="64" t="str">
        <f t="shared" si="25"/>
        <v/>
      </c>
      <c r="E142" s="102"/>
      <c r="F142" s="64" t="str">
        <f t="shared" si="20"/>
        <v/>
      </c>
      <c r="G142" s="64" t="str">
        <f t="shared" si="26"/>
        <v/>
      </c>
      <c r="H142" s="101"/>
      <c r="I142" s="101"/>
      <c r="J142" s="101"/>
      <c r="K142" s="112"/>
      <c r="L142" s="111"/>
      <c r="M142" s="111"/>
      <c r="N142" s="112"/>
      <c r="O142" s="235"/>
      <c r="P142" s="68"/>
      <c r="R142" t="str">
        <f t="shared" si="21"/>
        <v/>
      </c>
      <c r="S142" t="str">
        <f t="shared" si="22"/>
        <v/>
      </c>
      <c r="T142" t="str">
        <f t="shared" si="23"/>
        <v/>
      </c>
      <c r="AD142" t="s">
        <v>1682</v>
      </c>
      <c r="AE142" t="s">
        <v>1683</v>
      </c>
      <c r="AF142" t="str">
        <f t="shared" si="27"/>
        <v>A679072</v>
      </c>
      <c r="AG142" t="str">
        <f>VLOOKUP(AF142,AKT!$C$4:$E$324,3,FALSE)</f>
        <v>0942</v>
      </c>
    </row>
    <row r="143" spans="1:33">
      <c r="A143" s="69"/>
      <c r="B143" s="64" t="str">
        <f t="shared" si="24"/>
        <v/>
      </c>
      <c r="C143" s="69"/>
      <c r="D143" s="64" t="str">
        <f t="shared" si="25"/>
        <v/>
      </c>
      <c r="E143" s="102"/>
      <c r="F143" s="64" t="str">
        <f t="shared" si="20"/>
        <v/>
      </c>
      <c r="G143" s="64" t="str">
        <f t="shared" si="26"/>
        <v/>
      </c>
      <c r="H143" s="101"/>
      <c r="I143" s="101"/>
      <c r="J143" s="101"/>
      <c r="K143" s="112"/>
      <c r="L143" s="111"/>
      <c r="M143" s="111"/>
      <c r="N143" s="112"/>
      <c r="O143" s="235"/>
      <c r="P143" s="68"/>
      <c r="R143" t="str">
        <f t="shared" si="21"/>
        <v/>
      </c>
      <c r="S143" t="str">
        <f t="shared" si="22"/>
        <v/>
      </c>
      <c r="T143" t="str">
        <f t="shared" si="23"/>
        <v/>
      </c>
      <c r="AD143" t="s">
        <v>1684</v>
      </c>
      <c r="AE143" t="s">
        <v>1685</v>
      </c>
      <c r="AF143" t="str">
        <f t="shared" si="27"/>
        <v>A679072</v>
      </c>
      <c r="AG143" t="str">
        <f>VLOOKUP(AF143,AKT!$C$4:$E$324,3,FALSE)</f>
        <v>0942</v>
      </c>
    </row>
    <row r="144" spans="1:33">
      <c r="A144" s="69"/>
      <c r="B144" s="64" t="str">
        <f t="shared" si="24"/>
        <v/>
      </c>
      <c r="C144" s="69"/>
      <c r="D144" s="64" t="str">
        <f t="shared" si="25"/>
        <v/>
      </c>
      <c r="E144" s="102"/>
      <c r="F144" s="64" t="str">
        <f t="shared" si="20"/>
        <v/>
      </c>
      <c r="G144" s="64" t="str">
        <f t="shared" si="26"/>
        <v/>
      </c>
      <c r="H144" s="101"/>
      <c r="I144" s="101"/>
      <c r="J144" s="101"/>
      <c r="K144" s="112"/>
      <c r="L144" s="111"/>
      <c r="M144" s="111"/>
      <c r="N144" s="112"/>
      <c r="O144" s="235"/>
      <c r="P144" s="68"/>
      <c r="R144" t="str">
        <f t="shared" si="21"/>
        <v/>
      </c>
      <c r="S144" t="str">
        <f t="shared" si="22"/>
        <v/>
      </c>
      <c r="T144" t="str">
        <f t="shared" si="23"/>
        <v/>
      </c>
      <c r="AD144" t="s">
        <v>1686</v>
      </c>
      <c r="AE144" t="s">
        <v>1687</v>
      </c>
      <c r="AF144" t="str">
        <f t="shared" si="27"/>
        <v>A679072</v>
      </c>
      <c r="AG144" t="str">
        <f>VLOOKUP(AF144,AKT!$C$4:$E$324,3,FALSE)</f>
        <v>0942</v>
      </c>
    </row>
    <row r="145" spans="1:33">
      <c r="A145" s="69"/>
      <c r="B145" s="64" t="str">
        <f t="shared" si="24"/>
        <v/>
      </c>
      <c r="C145" s="69"/>
      <c r="D145" s="64" t="str">
        <f t="shared" si="25"/>
        <v/>
      </c>
      <c r="E145" s="102"/>
      <c r="F145" s="64" t="str">
        <f t="shared" si="20"/>
        <v/>
      </c>
      <c r="G145" s="64" t="str">
        <f t="shared" si="26"/>
        <v/>
      </c>
      <c r="H145" s="101"/>
      <c r="I145" s="101"/>
      <c r="J145" s="101"/>
      <c r="K145" s="112"/>
      <c r="L145" s="111"/>
      <c r="M145" s="111"/>
      <c r="N145" s="112"/>
      <c r="O145" s="235"/>
      <c r="P145" s="68"/>
      <c r="R145" t="str">
        <f t="shared" si="21"/>
        <v/>
      </c>
      <c r="S145" t="str">
        <f t="shared" si="22"/>
        <v/>
      </c>
      <c r="T145" t="str">
        <f t="shared" si="23"/>
        <v/>
      </c>
      <c r="AD145" t="s">
        <v>1688</v>
      </c>
      <c r="AE145" t="s">
        <v>1689</v>
      </c>
      <c r="AF145" t="str">
        <f t="shared" si="27"/>
        <v>A679072</v>
      </c>
      <c r="AG145" t="str">
        <f>VLOOKUP(AF145,AKT!$C$4:$E$324,3,FALSE)</f>
        <v>0942</v>
      </c>
    </row>
    <row r="146" spans="1:33">
      <c r="A146" s="69"/>
      <c r="B146" s="64" t="str">
        <f t="shared" si="24"/>
        <v/>
      </c>
      <c r="C146" s="69"/>
      <c r="D146" s="64" t="str">
        <f t="shared" si="25"/>
        <v/>
      </c>
      <c r="E146" s="102"/>
      <c r="F146" s="64" t="str">
        <f t="shared" si="20"/>
        <v/>
      </c>
      <c r="G146" s="64" t="str">
        <f t="shared" si="26"/>
        <v/>
      </c>
      <c r="H146" s="101"/>
      <c r="I146" s="101"/>
      <c r="J146" s="101"/>
      <c r="K146" s="112"/>
      <c r="L146" s="111"/>
      <c r="M146" s="111"/>
      <c r="N146" s="112"/>
      <c r="O146" s="235"/>
      <c r="P146" s="68"/>
      <c r="R146" t="str">
        <f t="shared" si="21"/>
        <v/>
      </c>
      <c r="S146" t="str">
        <f t="shared" si="22"/>
        <v/>
      </c>
      <c r="T146" t="str">
        <f t="shared" si="23"/>
        <v/>
      </c>
      <c r="AD146" t="s">
        <v>1690</v>
      </c>
      <c r="AE146" t="s">
        <v>1691</v>
      </c>
      <c r="AF146" t="str">
        <f t="shared" si="27"/>
        <v>A679072</v>
      </c>
      <c r="AG146" t="str">
        <f>VLOOKUP(AF146,AKT!$C$4:$E$324,3,FALSE)</f>
        <v>0942</v>
      </c>
    </row>
    <row r="147" spans="1:33">
      <c r="A147" s="69"/>
      <c r="B147" s="64" t="str">
        <f t="shared" si="24"/>
        <v/>
      </c>
      <c r="C147" s="69"/>
      <c r="D147" s="64" t="str">
        <f t="shared" si="25"/>
        <v/>
      </c>
      <c r="E147" s="102"/>
      <c r="F147" s="64" t="str">
        <f t="shared" si="20"/>
        <v/>
      </c>
      <c r="G147" s="64" t="str">
        <f t="shared" si="26"/>
        <v/>
      </c>
      <c r="H147" s="101"/>
      <c r="I147" s="101"/>
      <c r="J147" s="101"/>
      <c r="K147" s="112"/>
      <c r="L147" s="111"/>
      <c r="M147" s="111"/>
      <c r="N147" s="112"/>
      <c r="O147" s="235"/>
      <c r="P147" s="68"/>
      <c r="R147" t="str">
        <f t="shared" si="21"/>
        <v/>
      </c>
      <c r="S147" t="str">
        <f t="shared" si="22"/>
        <v/>
      </c>
      <c r="T147" t="str">
        <f t="shared" si="23"/>
        <v/>
      </c>
      <c r="AD147" t="s">
        <v>1692</v>
      </c>
      <c r="AE147" t="s">
        <v>1693</v>
      </c>
      <c r="AF147" t="str">
        <f t="shared" si="27"/>
        <v>A679072</v>
      </c>
      <c r="AG147" t="str">
        <f>VLOOKUP(AF147,AKT!$C$4:$E$324,3,FALSE)</f>
        <v>0942</v>
      </c>
    </row>
    <row r="148" spans="1:33">
      <c r="A148" s="69"/>
      <c r="B148" s="64" t="str">
        <f t="shared" si="24"/>
        <v/>
      </c>
      <c r="C148" s="69"/>
      <c r="D148" s="64" t="str">
        <f t="shared" si="25"/>
        <v/>
      </c>
      <c r="E148" s="102"/>
      <c r="F148" s="64" t="str">
        <f t="shared" si="20"/>
        <v/>
      </c>
      <c r="G148" s="64" t="str">
        <f t="shared" si="26"/>
        <v/>
      </c>
      <c r="H148" s="101"/>
      <c r="I148" s="101"/>
      <c r="J148" s="101"/>
      <c r="K148" s="112"/>
      <c r="L148" s="111"/>
      <c r="M148" s="111"/>
      <c r="N148" s="112"/>
      <c r="O148" s="235"/>
      <c r="P148" s="68"/>
      <c r="R148" t="str">
        <f t="shared" si="21"/>
        <v/>
      </c>
      <c r="S148" t="str">
        <f t="shared" si="22"/>
        <v/>
      </c>
      <c r="T148" t="str">
        <f t="shared" si="23"/>
        <v/>
      </c>
      <c r="AD148" t="s">
        <v>1694</v>
      </c>
      <c r="AE148" t="s">
        <v>1695</v>
      </c>
      <c r="AF148" t="str">
        <f t="shared" si="27"/>
        <v>A679072</v>
      </c>
      <c r="AG148" t="str">
        <f>VLOOKUP(AF148,AKT!$C$4:$E$324,3,FALSE)</f>
        <v>0942</v>
      </c>
    </row>
    <row r="149" spans="1:33">
      <c r="A149" s="69"/>
      <c r="B149" s="64" t="str">
        <f t="shared" si="24"/>
        <v/>
      </c>
      <c r="C149" s="69"/>
      <c r="D149" s="64" t="str">
        <f t="shared" si="25"/>
        <v/>
      </c>
      <c r="E149" s="102"/>
      <c r="F149" s="64" t="str">
        <f t="shared" si="20"/>
        <v/>
      </c>
      <c r="G149" s="64" t="str">
        <f t="shared" si="26"/>
        <v/>
      </c>
      <c r="H149" s="101"/>
      <c r="I149" s="101"/>
      <c r="J149" s="101"/>
      <c r="K149" s="112"/>
      <c r="L149" s="111"/>
      <c r="M149" s="111"/>
      <c r="N149" s="112"/>
      <c r="O149" s="235"/>
      <c r="P149" s="68"/>
      <c r="R149" t="str">
        <f t="shared" si="21"/>
        <v/>
      </c>
      <c r="S149" t="str">
        <f t="shared" si="22"/>
        <v/>
      </c>
      <c r="T149" t="str">
        <f t="shared" si="23"/>
        <v/>
      </c>
      <c r="AD149" t="s">
        <v>1696</v>
      </c>
      <c r="AE149" t="s">
        <v>1518</v>
      </c>
      <c r="AF149" t="str">
        <f t="shared" si="27"/>
        <v>A679072</v>
      </c>
      <c r="AG149" t="str">
        <f>VLOOKUP(AF149,AKT!$C$4:$E$324,3,FALSE)</f>
        <v>0942</v>
      </c>
    </row>
    <row r="150" spans="1:33">
      <c r="A150" s="69"/>
      <c r="B150" s="64" t="str">
        <f t="shared" si="24"/>
        <v/>
      </c>
      <c r="C150" s="69"/>
      <c r="D150" s="64" t="str">
        <f t="shared" si="25"/>
        <v/>
      </c>
      <c r="E150" s="102"/>
      <c r="F150" s="64" t="str">
        <f t="shared" si="20"/>
        <v/>
      </c>
      <c r="G150" s="64" t="str">
        <f t="shared" si="26"/>
        <v/>
      </c>
      <c r="H150" s="101"/>
      <c r="I150" s="101"/>
      <c r="J150" s="101"/>
      <c r="K150" s="112"/>
      <c r="L150" s="111"/>
      <c r="M150" s="111"/>
      <c r="N150" s="112"/>
      <c r="O150" s="235"/>
      <c r="P150" s="68"/>
      <c r="R150" t="str">
        <f t="shared" si="21"/>
        <v/>
      </c>
      <c r="S150" t="str">
        <f t="shared" si="22"/>
        <v/>
      </c>
      <c r="T150" t="str">
        <f t="shared" si="23"/>
        <v/>
      </c>
      <c r="AD150" t="s">
        <v>1697</v>
      </c>
      <c r="AE150" t="s">
        <v>1698</v>
      </c>
      <c r="AF150" t="str">
        <f t="shared" si="27"/>
        <v>A679072</v>
      </c>
      <c r="AG150" t="str">
        <f>VLOOKUP(AF150,AKT!$C$4:$E$324,3,FALSE)</f>
        <v>0942</v>
      </c>
    </row>
    <row r="151" spans="1:33">
      <c r="A151" s="69"/>
      <c r="B151" s="64" t="str">
        <f t="shared" si="24"/>
        <v/>
      </c>
      <c r="C151" s="69"/>
      <c r="D151" s="64" t="str">
        <f t="shared" si="25"/>
        <v/>
      </c>
      <c r="E151" s="102"/>
      <c r="F151" s="64" t="str">
        <f t="shared" si="20"/>
        <v/>
      </c>
      <c r="G151" s="64" t="str">
        <f t="shared" si="26"/>
        <v/>
      </c>
      <c r="H151" s="101"/>
      <c r="I151" s="101"/>
      <c r="J151" s="101"/>
      <c r="K151" s="112"/>
      <c r="L151" s="111"/>
      <c r="M151" s="111"/>
      <c r="N151" s="112"/>
      <c r="O151" s="235"/>
      <c r="P151" s="68"/>
      <c r="R151" t="str">
        <f t="shared" si="21"/>
        <v/>
      </c>
      <c r="S151" t="str">
        <f t="shared" si="22"/>
        <v/>
      </c>
      <c r="T151" t="str">
        <f t="shared" si="23"/>
        <v/>
      </c>
      <c r="AD151" t="s">
        <v>1699</v>
      </c>
      <c r="AE151" t="s">
        <v>1700</v>
      </c>
      <c r="AF151" t="str">
        <f t="shared" si="27"/>
        <v>A679072</v>
      </c>
      <c r="AG151" t="str">
        <f>VLOOKUP(AF151,AKT!$C$4:$E$324,3,FALSE)</f>
        <v>0942</v>
      </c>
    </row>
    <row r="152" spans="1:33">
      <c r="A152" s="69"/>
      <c r="B152" s="64" t="str">
        <f t="shared" si="24"/>
        <v/>
      </c>
      <c r="C152" s="69"/>
      <c r="D152" s="64" t="str">
        <f t="shared" si="25"/>
        <v/>
      </c>
      <c r="E152" s="102"/>
      <c r="F152" s="64" t="str">
        <f t="shared" si="20"/>
        <v/>
      </c>
      <c r="G152" s="64" t="str">
        <f t="shared" si="26"/>
        <v/>
      </c>
      <c r="H152" s="101"/>
      <c r="I152" s="101"/>
      <c r="J152" s="101"/>
      <c r="K152" s="112"/>
      <c r="L152" s="111"/>
      <c r="M152" s="111"/>
      <c r="N152" s="112"/>
      <c r="O152" s="235"/>
      <c r="P152" s="68"/>
      <c r="R152" t="str">
        <f t="shared" si="21"/>
        <v/>
      </c>
      <c r="S152" t="str">
        <f t="shared" si="22"/>
        <v/>
      </c>
      <c r="T152" t="str">
        <f t="shared" si="23"/>
        <v/>
      </c>
      <c r="AD152" t="s">
        <v>1701</v>
      </c>
      <c r="AE152" t="s">
        <v>1702</v>
      </c>
      <c r="AF152" t="str">
        <f t="shared" si="27"/>
        <v>A679072</v>
      </c>
      <c r="AG152" t="str">
        <f>VLOOKUP(AF152,AKT!$C$4:$E$324,3,FALSE)</f>
        <v>0942</v>
      </c>
    </row>
    <row r="153" spans="1:33">
      <c r="A153" s="69"/>
      <c r="B153" s="64" t="str">
        <f t="shared" si="24"/>
        <v/>
      </c>
      <c r="C153" s="69"/>
      <c r="D153" s="64" t="str">
        <f t="shared" si="25"/>
        <v/>
      </c>
      <c r="E153" s="102"/>
      <c r="F153" s="64" t="str">
        <f t="shared" si="20"/>
        <v/>
      </c>
      <c r="G153" s="64" t="str">
        <f t="shared" si="26"/>
        <v/>
      </c>
      <c r="H153" s="101"/>
      <c r="I153" s="101"/>
      <c r="J153" s="101"/>
      <c r="K153" s="112"/>
      <c r="L153" s="111"/>
      <c r="M153" s="111"/>
      <c r="N153" s="112"/>
      <c r="O153" s="235"/>
      <c r="P153" s="68"/>
      <c r="R153" t="str">
        <f t="shared" si="21"/>
        <v/>
      </c>
      <c r="S153" t="str">
        <f t="shared" si="22"/>
        <v/>
      </c>
      <c r="T153" t="str">
        <f t="shared" si="23"/>
        <v/>
      </c>
      <c r="AD153" t="s">
        <v>1703</v>
      </c>
      <c r="AE153" t="s">
        <v>1704</v>
      </c>
      <c r="AF153" t="str">
        <f t="shared" si="27"/>
        <v>A679072</v>
      </c>
      <c r="AG153" t="str">
        <f>VLOOKUP(AF153,AKT!$C$4:$E$324,3,FALSE)</f>
        <v>0942</v>
      </c>
    </row>
    <row r="154" spans="1:33">
      <c r="A154" s="69"/>
      <c r="B154" s="64" t="str">
        <f t="shared" si="24"/>
        <v/>
      </c>
      <c r="C154" s="69"/>
      <c r="D154" s="64" t="str">
        <f t="shared" si="25"/>
        <v/>
      </c>
      <c r="E154" s="102"/>
      <c r="F154" s="64" t="str">
        <f t="shared" si="20"/>
        <v/>
      </c>
      <c r="G154" s="64" t="str">
        <f t="shared" si="26"/>
        <v/>
      </c>
      <c r="H154" s="101"/>
      <c r="I154" s="101"/>
      <c r="J154" s="101"/>
      <c r="K154" s="112"/>
      <c r="L154" s="111"/>
      <c r="M154" s="111"/>
      <c r="N154" s="112"/>
      <c r="O154" s="235"/>
      <c r="P154" s="68"/>
      <c r="R154" t="str">
        <f t="shared" si="21"/>
        <v/>
      </c>
      <c r="S154" t="str">
        <f t="shared" si="22"/>
        <v/>
      </c>
      <c r="T154" t="str">
        <f t="shared" si="23"/>
        <v/>
      </c>
      <c r="AD154" t="s">
        <v>1705</v>
      </c>
      <c r="AE154" t="s">
        <v>1706</v>
      </c>
      <c r="AF154" t="str">
        <f t="shared" si="27"/>
        <v>A679072</v>
      </c>
      <c r="AG154" t="str">
        <f>VLOOKUP(AF154,AKT!$C$4:$E$324,3,FALSE)</f>
        <v>0942</v>
      </c>
    </row>
    <row r="155" spans="1:33">
      <c r="A155" s="69"/>
      <c r="B155" s="64" t="str">
        <f t="shared" si="24"/>
        <v/>
      </c>
      <c r="C155" s="69"/>
      <c r="D155" s="64" t="str">
        <f t="shared" si="25"/>
        <v/>
      </c>
      <c r="E155" s="102"/>
      <c r="F155" s="64" t="str">
        <f t="shared" si="20"/>
        <v/>
      </c>
      <c r="G155" s="64" t="str">
        <f t="shared" si="26"/>
        <v/>
      </c>
      <c r="H155" s="101"/>
      <c r="I155" s="101"/>
      <c r="J155" s="101"/>
      <c r="K155" s="112"/>
      <c r="L155" s="111"/>
      <c r="M155" s="111"/>
      <c r="N155" s="112"/>
      <c r="O155" s="235"/>
      <c r="P155" s="68"/>
      <c r="R155" t="str">
        <f t="shared" si="21"/>
        <v/>
      </c>
      <c r="S155" t="str">
        <f t="shared" si="22"/>
        <v/>
      </c>
      <c r="T155" t="str">
        <f t="shared" si="23"/>
        <v/>
      </c>
      <c r="AD155" t="s">
        <v>1707</v>
      </c>
      <c r="AE155" t="s">
        <v>1708</v>
      </c>
      <c r="AF155" t="str">
        <f t="shared" si="27"/>
        <v>A679072</v>
      </c>
      <c r="AG155" t="str">
        <f>VLOOKUP(AF155,AKT!$C$4:$E$324,3,FALSE)</f>
        <v>0942</v>
      </c>
    </row>
    <row r="156" spans="1:33">
      <c r="A156" s="69"/>
      <c r="B156" s="64" t="str">
        <f t="shared" si="24"/>
        <v/>
      </c>
      <c r="C156" s="69"/>
      <c r="D156" s="64" t="str">
        <f t="shared" si="25"/>
        <v/>
      </c>
      <c r="E156" s="102"/>
      <c r="F156" s="64" t="str">
        <f t="shared" si="20"/>
        <v/>
      </c>
      <c r="G156" s="64" t="str">
        <f t="shared" si="26"/>
        <v/>
      </c>
      <c r="H156" s="101"/>
      <c r="I156" s="101"/>
      <c r="J156" s="101"/>
      <c r="K156" s="112"/>
      <c r="L156" s="111"/>
      <c r="M156" s="111"/>
      <c r="N156" s="112"/>
      <c r="O156" s="235"/>
      <c r="P156" s="68"/>
      <c r="R156" t="str">
        <f t="shared" si="21"/>
        <v/>
      </c>
      <c r="S156" t="str">
        <f t="shared" si="22"/>
        <v/>
      </c>
      <c r="T156" t="str">
        <f t="shared" si="23"/>
        <v/>
      </c>
      <c r="AD156" t="s">
        <v>1709</v>
      </c>
      <c r="AE156" t="s">
        <v>1710</v>
      </c>
      <c r="AF156" t="str">
        <f t="shared" si="27"/>
        <v>A679072</v>
      </c>
      <c r="AG156" t="str">
        <f>VLOOKUP(AF156,AKT!$C$4:$E$324,3,FALSE)</f>
        <v>0942</v>
      </c>
    </row>
    <row r="157" spans="1:33">
      <c r="A157" s="69"/>
      <c r="B157" s="64" t="str">
        <f t="shared" si="24"/>
        <v/>
      </c>
      <c r="C157" s="69"/>
      <c r="D157" s="64" t="str">
        <f t="shared" si="25"/>
        <v/>
      </c>
      <c r="E157" s="102"/>
      <c r="F157" s="64" t="str">
        <f t="shared" si="20"/>
        <v/>
      </c>
      <c r="G157" s="64" t="str">
        <f t="shared" si="26"/>
        <v/>
      </c>
      <c r="H157" s="101"/>
      <c r="I157" s="101"/>
      <c r="J157" s="101"/>
      <c r="K157" s="112"/>
      <c r="L157" s="111"/>
      <c r="M157" s="111"/>
      <c r="N157" s="112"/>
      <c r="O157" s="235"/>
      <c r="P157" s="68"/>
      <c r="R157" t="str">
        <f t="shared" si="21"/>
        <v/>
      </c>
      <c r="S157" t="str">
        <f t="shared" si="22"/>
        <v/>
      </c>
      <c r="T157" t="str">
        <f t="shared" si="23"/>
        <v/>
      </c>
      <c r="AD157" t="s">
        <v>1711</v>
      </c>
      <c r="AE157" t="s">
        <v>1712</v>
      </c>
      <c r="AF157" t="str">
        <f t="shared" si="27"/>
        <v>A679072</v>
      </c>
      <c r="AG157" t="str">
        <f>VLOOKUP(AF157,AKT!$C$4:$E$324,3,FALSE)</f>
        <v>0942</v>
      </c>
    </row>
    <row r="158" spans="1:33">
      <c r="A158" s="69"/>
      <c r="B158" s="64" t="str">
        <f t="shared" si="24"/>
        <v/>
      </c>
      <c r="C158" s="69"/>
      <c r="D158" s="64" t="str">
        <f t="shared" si="25"/>
        <v/>
      </c>
      <c r="E158" s="102"/>
      <c r="F158" s="64" t="str">
        <f t="shared" si="20"/>
        <v/>
      </c>
      <c r="G158" s="64" t="str">
        <f t="shared" si="26"/>
        <v/>
      </c>
      <c r="H158" s="101"/>
      <c r="I158" s="101"/>
      <c r="J158" s="101"/>
      <c r="K158" s="112"/>
      <c r="L158" s="111"/>
      <c r="M158" s="111"/>
      <c r="N158" s="112"/>
      <c r="O158" s="235"/>
      <c r="P158" s="68"/>
      <c r="R158" t="str">
        <f t="shared" si="21"/>
        <v/>
      </c>
      <c r="S158" t="str">
        <f t="shared" si="22"/>
        <v/>
      </c>
      <c r="T158" t="str">
        <f t="shared" si="23"/>
        <v/>
      </c>
      <c r="AD158" t="s">
        <v>1713</v>
      </c>
      <c r="AE158" t="s">
        <v>1714</v>
      </c>
      <c r="AF158" t="str">
        <f t="shared" si="27"/>
        <v>A679072</v>
      </c>
      <c r="AG158" t="str">
        <f>VLOOKUP(AF158,AKT!$C$4:$E$324,3,FALSE)</f>
        <v>0942</v>
      </c>
    </row>
    <row r="159" spans="1:33">
      <c r="A159" s="69"/>
      <c r="B159" s="64" t="str">
        <f t="shared" si="24"/>
        <v/>
      </c>
      <c r="C159" s="69"/>
      <c r="D159" s="64" t="str">
        <f t="shared" si="25"/>
        <v/>
      </c>
      <c r="E159" s="102"/>
      <c r="F159" s="64" t="str">
        <f t="shared" si="20"/>
        <v/>
      </c>
      <c r="G159" s="64" t="str">
        <f t="shared" si="26"/>
        <v/>
      </c>
      <c r="H159" s="101"/>
      <c r="I159" s="101"/>
      <c r="J159" s="101"/>
      <c r="K159" s="112"/>
      <c r="L159" s="111"/>
      <c r="M159" s="111"/>
      <c r="N159" s="112"/>
      <c r="O159" s="235"/>
      <c r="P159" s="68"/>
      <c r="R159" t="str">
        <f t="shared" si="21"/>
        <v/>
      </c>
      <c r="S159" t="str">
        <f t="shared" si="22"/>
        <v/>
      </c>
      <c r="T159" t="str">
        <f t="shared" si="23"/>
        <v/>
      </c>
      <c r="AD159" t="s">
        <v>1715</v>
      </c>
      <c r="AE159" t="s">
        <v>1716</v>
      </c>
      <c r="AF159" t="str">
        <f t="shared" si="27"/>
        <v>A679072</v>
      </c>
      <c r="AG159" t="str">
        <f>VLOOKUP(AF159,AKT!$C$4:$E$324,3,FALSE)</f>
        <v>0942</v>
      </c>
    </row>
    <row r="160" spans="1:33">
      <c r="A160" s="69"/>
      <c r="B160" s="64" t="str">
        <f t="shared" si="24"/>
        <v/>
      </c>
      <c r="C160" s="69"/>
      <c r="D160" s="64" t="str">
        <f t="shared" si="25"/>
        <v/>
      </c>
      <c r="E160" s="102"/>
      <c r="F160" s="64" t="str">
        <f t="shared" si="20"/>
        <v/>
      </c>
      <c r="G160" s="64" t="str">
        <f t="shared" si="26"/>
        <v/>
      </c>
      <c r="H160" s="101"/>
      <c r="I160" s="101"/>
      <c r="J160" s="101"/>
      <c r="K160" s="112"/>
      <c r="L160" s="111"/>
      <c r="M160" s="111"/>
      <c r="N160" s="112"/>
      <c r="O160" s="235"/>
      <c r="P160" s="68"/>
      <c r="R160" t="str">
        <f t="shared" si="21"/>
        <v/>
      </c>
      <c r="S160" t="str">
        <f t="shared" si="22"/>
        <v/>
      </c>
      <c r="T160" t="str">
        <f t="shared" si="23"/>
        <v/>
      </c>
      <c r="AD160" t="s">
        <v>1717</v>
      </c>
      <c r="AE160" t="s">
        <v>1718</v>
      </c>
      <c r="AF160" t="str">
        <f t="shared" si="27"/>
        <v>A679072</v>
      </c>
      <c r="AG160" t="str">
        <f>VLOOKUP(AF160,AKT!$C$4:$E$324,3,FALSE)</f>
        <v>0942</v>
      </c>
    </row>
    <row r="161" spans="1:33">
      <c r="A161" s="69"/>
      <c r="B161" s="64" t="str">
        <f t="shared" si="24"/>
        <v/>
      </c>
      <c r="C161" s="69"/>
      <c r="D161" s="64" t="str">
        <f t="shared" si="25"/>
        <v/>
      </c>
      <c r="E161" s="102"/>
      <c r="F161" s="64" t="str">
        <f t="shared" si="20"/>
        <v/>
      </c>
      <c r="G161" s="64" t="str">
        <f t="shared" si="26"/>
        <v/>
      </c>
      <c r="H161" s="101"/>
      <c r="I161" s="101"/>
      <c r="J161" s="101"/>
      <c r="K161" s="112"/>
      <c r="L161" s="111"/>
      <c r="M161" s="111"/>
      <c r="N161" s="112"/>
      <c r="O161" s="235"/>
      <c r="P161" s="68"/>
      <c r="R161" t="str">
        <f t="shared" si="21"/>
        <v/>
      </c>
      <c r="S161" t="str">
        <f t="shared" si="22"/>
        <v/>
      </c>
      <c r="T161" t="str">
        <f t="shared" si="23"/>
        <v/>
      </c>
      <c r="AD161" t="s">
        <v>1719</v>
      </c>
      <c r="AE161" t="s">
        <v>1720</v>
      </c>
      <c r="AF161" t="str">
        <f t="shared" si="27"/>
        <v>A679072</v>
      </c>
      <c r="AG161" t="str">
        <f>VLOOKUP(AF161,AKT!$C$4:$E$324,3,FALSE)</f>
        <v>0942</v>
      </c>
    </row>
    <row r="162" spans="1:33">
      <c r="A162" s="69"/>
      <c r="B162" s="64" t="str">
        <f t="shared" si="24"/>
        <v/>
      </c>
      <c r="C162" s="69"/>
      <c r="D162" s="64" t="str">
        <f t="shared" si="25"/>
        <v/>
      </c>
      <c r="E162" s="102"/>
      <c r="F162" s="64" t="str">
        <f t="shared" si="20"/>
        <v/>
      </c>
      <c r="G162" s="64" t="str">
        <f t="shared" si="26"/>
        <v/>
      </c>
      <c r="H162" s="101"/>
      <c r="I162" s="101"/>
      <c r="J162" s="101"/>
      <c r="K162" s="112"/>
      <c r="L162" s="111"/>
      <c r="M162" s="111"/>
      <c r="N162" s="112"/>
      <c r="O162" s="235"/>
      <c r="P162" s="68"/>
      <c r="R162" t="str">
        <f t="shared" si="21"/>
        <v/>
      </c>
      <c r="S162" t="str">
        <f t="shared" si="22"/>
        <v/>
      </c>
      <c r="T162" t="str">
        <f t="shared" si="23"/>
        <v/>
      </c>
      <c r="AD162" t="s">
        <v>1721</v>
      </c>
      <c r="AE162" t="s">
        <v>1722</v>
      </c>
      <c r="AF162" t="str">
        <f t="shared" si="27"/>
        <v>A679072</v>
      </c>
      <c r="AG162" t="str">
        <f>VLOOKUP(AF162,AKT!$C$4:$E$324,3,FALSE)</f>
        <v>0942</v>
      </c>
    </row>
    <row r="163" spans="1:33">
      <c r="A163" s="69"/>
      <c r="B163" s="64" t="str">
        <f t="shared" si="24"/>
        <v/>
      </c>
      <c r="C163" s="69"/>
      <c r="D163" s="64" t="str">
        <f t="shared" si="25"/>
        <v/>
      </c>
      <c r="E163" s="102"/>
      <c r="F163" s="64" t="str">
        <f t="shared" si="20"/>
        <v/>
      </c>
      <c r="G163" s="64" t="str">
        <f t="shared" si="26"/>
        <v/>
      </c>
      <c r="H163" s="101"/>
      <c r="I163" s="101"/>
      <c r="J163" s="101"/>
      <c r="K163" s="112"/>
      <c r="L163" s="111"/>
      <c r="M163" s="111"/>
      <c r="N163" s="112"/>
      <c r="O163" s="235"/>
      <c r="P163" s="68"/>
      <c r="R163" t="str">
        <f t="shared" si="21"/>
        <v/>
      </c>
      <c r="S163" t="str">
        <f t="shared" si="22"/>
        <v/>
      </c>
      <c r="T163" t="str">
        <f t="shared" si="23"/>
        <v/>
      </c>
      <c r="AD163" t="s">
        <v>1723</v>
      </c>
      <c r="AE163" t="s">
        <v>1724</v>
      </c>
      <c r="AF163" t="str">
        <f t="shared" si="27"/>
        <v>A679072</v>
      </c>
      <c r="AG163" t="str">
        <f>VLOOKUP(AF163,AKT!$C$4:$E$324,3,FALSE)</f>
        <v>0942</v>
      </c>
    </row>
    <row r="164" spans="1:33">
      <c r="A164" s="69"/>
      <c r="B164" s="64" t="str">
        <f t="shared" si="24"/>
        <v/>
      </c>
      <c r="C164" s="69"/>
      <c r="D164" s="64" t="str">
        <f t="shared" si="25"/>
        <v/>
      </c>
      <c r="E164" s="102"/>
      <c r="F164" s="64" t="str">
        <f t="shared" si="20"/>
        <v/>
      </c>
      <c r="G164" s="64" t="str">
        <f t="shared" si="26"/>
        <v/>
      </c>
      <c r="H164" s="101"/>
      <c r="I164" s="101"/>
      <c r="J164" s="101"/>
      <c r="K164" s="112"/>
      <c r="L164" s="111"/>
      <c r="M164" s="111"/>
      <c r="N164" s="112"/>
      <c r="O164" s="235"/>
      <c r="P164" s="68"/>
      <c r="R164" t="str">
        <f t="shared" si="21"/>
        <v/>
      </c>
      <c r="S164" t="str">
        <f t="shared" si="22"/>
        <v/>
      </c>
      <c r="T164" t="str">
        <f t="shared" si="23"/>
        <v/>
      </c>
      <c r="AD164" t="s">
        <v>1725</v>
      </c>
      <c r="AE164" t="s">
        <v>1726</v>
      </c>
      <c r="AF164" t="str">
        <f t="shared" si="27"/>
        <v>A679072</v>
      </c>
      <c r="AG164" t="str">
        <f>VLOOKUP(AF164,AKT!$C$4:$E$324,3,FALSE)</f>
        <v>0942</v>
      </c>
    </row>
    <row r="165" spans="1:33">
      <c r="A165" s="69"/>
      <c r="B165" s="64" t="str">
        <f t="shared" si="24"/>
        <v/>
      </c>
      <c r="C165" s="69"/>
      <c r="D165" s="64" t="str">
        <f t="shared" si="25"/>
        <v/>
      </c>
      <c r="E165" s="102"/>
      <c r="F165" s="64" t="str">
        <f t="shared" si="20"/>
        <v/>
      </c>
      <c r="G165" s="64" t="str">
        <f t="shared" si="26"/>
        <v/>
      </c>
      <c r="H165" s="101"/>
      <c r="I165" s="101"/>
      <c r="J165" s="101"/>
      <c r="K165" s="112"/>
      <c r="L165" s="111"/>
      <c r="M165" s="111"/>
      <c r="N165" s="112"/>
      <c r="O165" s="235"/>
      <c r="P165" s="68"/>
      <c r="R165" t="str">
        <f t="shared" si="21"/>
        <v/>
      </c>
      <c r="S165" t="str">
        <f t="shared" si="22"/>
        <v/>
      </c>
      <c r="T165" t="str">
        <f t="shared" si="23"/>
        <v/>
      </c>
      <c r="AD165" t="s">
        <v>1727</v>
      </c>
      <c r="AE165" t="s">
        <v>1728</v>
      </c>
      <c r="AF165" t="str">
        <f t="shared" si="27"/>
        <v>A679072</v>
      </c>
      <c r="AG165" t="str">
        <f>VLOOKUP(AF165,AKT!$C$4:$E$324,3,FALSE)</f>
        <v>0942</v>
      </c>
    </row>
    <row r="166" spans="1:33">
      <c r="A166" s="69"/>
      <c r="B166" s="64" t="str">
        <f t="shared" si="24"/>
        <v/>
      </c>
      <c r="C166" s="69"/>
      <c r="D166" s="64" t="str">
        <f t="shared" si="25"/>
        <v/>
      </c>
      <c r="E166" s="102"/>
      <c r="F166" s="64" t="str">
        <f t="shared" si="20"/>
        <v/>
      </c>
      <c r="G166" s="64" t="str">
        <f t="shared" si="26"/>
        <v/>
      </c>
      <c r="H166" s="101"/>
      <c r="I166" s="101"/>
      <c r="J166" s="101"/>
      <c r="K166" s="112"/>
      <c r="L166" s="111"/>
      <c r="M166" s="111"/>
      <c r="N166" s="112"/>
      <c r="O166" s="235"/>
      <c r="P166" s="68"/>
      <c r="R166" t="str">
        <f t="shared" si="21"/>
        <v/>
      </c>
      <c r="S166" t="str">
        <f t="shared" si="22"/>
        <v/>
      </c>
      <c r="T166" t="str">
        <f t="shared" si="23"/>
        <v/>
      </c>
      <c r="AD166" t="s">
        <v>1729</v>
      </c>
      <c r="AE166" t="s">
        <v>1730</v>
      </c>
      <c r="AF166" t="str">
        <f t="shared" si="27"/>
        <v>A679072</v>
      </c>
      <c r="AG166" t="str">
        <f>VLOOKUP(AF166,AKT!$C$4:$E$324,3,FALSE)</f>
        <v>0942</v>
      </c>
    </row>
    <row r="167" spans="1:33">
      <c r="A167" s="69"/>
      <c r="B167" s="64" t="str">
        <f t="shared" si="24"/>
        <v/>
      </c>
      <c r="C167" s="69"/>
      <c r="D167" s="64" t="str">
        <f t="shared" si="25"/>
        <v/>
      </c>
      <c r="E167" s="102"/>
      <c r="F167" s="64" t="str">
        <f t="shared" si="20"/>
        <v/>
      </c>
      <c r="G167" s="64" t="str">
        <f t="shared" si="26"/>
        <v/>
      </c>
      <c r="H167" s="101"/>
      <c r="I167" s="101"/>
      <c r="J167" s="101"/>
      <c r="K167" s="112"/>
      <c r="L167" s="111"/>
      <c r="M167" s="111"/>
      <c r="N167" s="112"/>
      <c r="O167" s="235"/>
      <c r="P167" s="68"/>
      <c r="R167" t="str">
        <f t="shared" si="21"/>
        <v/>
      </c>
      <c r="S167" t="str">
        <f t="shared" si="22"/>
        <v/>
      </c>
      <c r="T167" t="str">
        <f t="shared" si="23"/>
        <v/>
      </c>
      <c r="AD167" t="s">
        <v>1731</v>
      </c>
      <c r="AE167" t="s">
        <v>1732</v>
      </c>
      <c r="AF167" t="str">
        <f t="shared" si="27"/>
        <v>A679072</v>
      </c>
      <c r="AG167" t="str">
        <f>VLOOKUP(AF167,AKT!$C$4:$E$324,3,FALSE)</f>
        <v>0942</v>
      </c>
    </row>
    <row r="168" spans="1:33">
      <c r="A168" s="69"/>
      <c r="B168" s="64" t="str">
        <f t="shared" si="24"/>
        <v/>
      </c>
      <c r="C168" s="69"/>
      <c r="D168" s="64" t="str">
        <f t="shared" si="25"/>
        <v/>
      </c>
      <c r="E168" s="102"/>
      <c r="F168" s="64" t="str">
        <f t="shared" si="20"/>
        <v/>
      </c>
      <c r="G168" s="64" t="str">
        <f t="shared" si="26"/>
        <v/>
      </c>
      <c r="H168" s="101"/>
      <c r="I168" s="101"/>
      <c r="J168" s="101"/>
      <c r="K168" s="112"/>
      <c r="L168" s="111"/>
      <c r="M168" s="111"/>
      <c r="N168" s="112"/>
      <c r="O168" s="235"/>
      <c r="P168" s="68"/>
      <c r="R168" t="str">
        <f t="shared" si="21"/>
        <v/>
      </c>
      <c r="S168" t="str">
        <f t="shared" si="22"/>
        <v/>
      </c>
      <c r="T168" t="str">
        <f t="shared" si="23"/>
        <v/>
      </c>
      <c r="AD168" t="s">
        <v>1733</v>
      </c>
      <c r="AE168" t="s">
        <v>1734</v>
      </c>
      <c r="AF168" t="str">
        <f t="shared" si="27"/>
        <v>A679072</v>
      </c>
      <c r="AG168" t="str">
        <f>VLOOKUP(AF168,AKT!$C$4:$E$324,3,FALSE)</f>
        <v>0942</v>
      </c>
    </row>
    <row r="169" spans="1:33">
      <c r="A169" s="69"/>
      <c r="B169" s="64" t="str">
        <f t="shared" si="24"/>
        <v/>
      </c>
      <c r="C169" s="69"/>
      <c r="D169" s="64" t="str">
        <f t="shared" si="25"/>
        <v/>
      </c>
      <c r="E169" s="102"/>
      <c r="F169" s="64" t="str">
        <f t="shared" si="20"/>
        <v/>
      </c>
      <c r="G169" s="64" t="str">
        <f t="shared" si="26"/>
        <v/>
      </c>
      <c r="H169" s="101"/>
      <c r="I169" s="101"/>
      <c r="J169" s="101"/>
      <c r="K169" s="112"/>
      <c r="L169" s="111"/>
      <c r="M169" s="111"/>
      <c r="N169" s="112"/>
      <c r="O169" s="235"/>
      <c r="P169" s="68"/>
      <c r="R169" t="str">
        <f t="shared" si="21"/>
        <v/>
      </c>
      <c r="S169" t="str">
        <f t="shared" si="22"/>
        <v/>
      </c>
      <c r="T169" t="str">
        <f t="shared" si="23"/>
        <v/>
      </c>
      <c r="AD169" t="s">
        <v>1735</v>
      </c>
      <c r="AE169" t="s">
        <v>1736</v>
      </c>
      <c r="AF169" t="str">
        <f t="shared" si="27"/>
        <v>A679072</v>
      </c>
      <c r="AG169" t="str">
        <f>VLOOKUP(AF169,AKT!$C$4:$E$324,3,FALSE)</f>
        <v>0942</v>
      </c>
    </row>
    <row r="170" spans="1:33">
      <c r="A170" s="69"/>
      <c r="B170" s="64" t="str">
        <f t="shared" si="24"/>
        <v/>
      </c>
      <c r="C170" s="69"/>
      <c r="D170" s="64" t="str">
        <f t="shared" si="25"/>
        <v/>
      </c>
      <c r="E170" s="102"/>
      <c r="F170" s="64" t="str">
        <f t="shared" ref="F170:F233" si="28">IFERROR(VLOOKUP(E170,$AD$6:$AE$1085,2,FALSE),"")</f>
        <v/>
      </c>
      <c r="G170" s="64" t="str">
        <f t="shared" si="26"/>
        <v/>
      </c>
      <c r="H170" s="101"/>
      <c r="I170" s="101"/>
      <c r="J170" s="101"/>
      <c r="K170" s="112"/>
      <c r="L170" s="111"/>
      <c r="M170" s="111"/>
      <c r="N170" s="112"/>
      <c r="O170" s="235"/>
      <c r="P170" s="68"/>
      <c r="R170" t="str">
        <f t="shared" si="21"/>
        <v/>
      </c>
      <c r="S170" t="str">
        <f t="shared" si="22"/>
        <v/>
      </c>
      <c r="T170" t="str">
        <f t="shared" si="23"/>
        <v/>
      </c>
      <c r="AD170" t="s">
        <v>1737</v>
      </c>
      <c r="AE170" t="s">
        <v>1738</v>
      </c>
      <c r="AF170" t="str">
        <f t="shared" si="27"/>
        <v>A679072</v>
      </c>
      <c r="AG170" t="str">
        <f>VLOOKUP(AF170,AKT!$C$4:$E$324,3,FALSE)</f>
        <v>0942</v>
      </c>
    </row>
    <row r="171" spans="1:33">
      <c r="A171" s="69"/>
      <c r="B171" s="64" t="str">
        <f t="shared" si="24"/>
        <v/>
      </c>
      <c r="C171" s="69"/>
      <c r="D171" s="64" t="str">
        <f t="shared" si="25"/>
        <v/>
      </c>
      <c r="E171" s="102"/>
      <c r="F171" s="64" t="str">
        <f t="shared" si="28"/>
        <v/>
      </c>
      <c r="G171" s="64" t="str">
        <f t="shared" si="26"/>
        <v/>
      </c>
      <c r="H171" s="101"/>
      <c r="I171" s="101"/>
      <c r="J171" s="101"/>
      <c r="K171" s="112"/>
      <c r="L171" s="111"/>
      <c r="M171" s="111"/>
      <c r="N171" s="112"/>
      <c r="O171" s="235"/>
      <c r="P171" s="68"/>
      <c r="R171" t="str">
        <f t="shared" si="21"/>
        <v/>
      </c>
      <c r="S171" t="str">
        <f t="shared" si="22"/>
        <v/>
      </c>
      <c r="T171" t="str">
        <f t="shared" si="23"/>
        <v/>
      </c>
      <c r="AD171" t="s">
        <v>1739</v>
      </c>
      <c r="AE171" t="s">
        <v>1740</v>
      </c>
      <c r="AF171" t="str">
        <f t="shared" si="27"/>
        <v>A679072</v>
      </c>
      <c r="AG171" t="str">
        <f>VLOOKUP(AF171,AKT!$C$4:$E$324,3,FALSE)</f>
        <v>0942</v>
      </c>
    </row>
    <row r="172" spans="1:33">
      <c r="A172" s="69"/>
      <c r="B172" s="64" t="str">
        <f t="shared" si="24"/>
        <v/>
      </c>
      <c r="C172" s="69"/>
      <c r="D172" s="64" t="str">
        <f t="shared" si="25"/>
        <v/>
      </c>
      <c r="E172" s="102"/>
      <c r="F172" s="64" t="str">
        <f t="shared" si="28"/>
        <v/>
      </c>
      <c r="G172" s="64" t="str">
        <f t="shared" si="26"/>
        <v/>
      </c>
      <c r="H172" s="101"/>
      <c r="I172" s="101"/>
      <c r="J172" s="101"/>
      <c r="K172" s="112"/>
      <c r="L172" s="111"/>
      <c r="M172" s="111"/>
      <c r="N172" s="112"/>
      <c r="O172" s="235"/>
      <c r="P172" s="68"/>
      <c r="R172" t="str">
        <f t="shared" si="21"/>
        <v/>
      </c>
      <c r="S172" t="str">
        <f t="shared" si="22"/>
        <v/>
      </c>
      <c r="T172" t="str">
        <f t="shared" si="23"/>
        <v/>
      </c>
      <c r="AD172" t="s">
        <v>1741</v>
      </c>
      <c r="AE172" t="s">
        <v>1742</v>
      </c>
      <c r="AF172" t="str">
        <f t="shared" si="27"/>
        <v>A679072</v>
      </c>
      <c r="AG172" t="str">
        <f>VLOOKUP(AF172,AKT!$C$4:$E$324,3,FALSE)</f>
        <v>0942</v>
      </c>
    </row>
    <row r="173" spans="1:33">
      <c r="A173" s="69"/>
      <c r="B173" s="64" t="str">
        <f t="shared" si="24"/>
        <v/>
      </c>
      <c r="C173" s="69"/>
      <c r="D173" s="64" t="str">
        <f t="shared" si="25"/>
        <v/>
      </c>
      <c r="E173" s="102"/>
      <c r="F173" s="64" t="str">
        <f t="shared" si="28"/>
        <v/>
      </c>
      <c r="G173" s="64" t="str">
        <f t="shared" si="26"/>
        <v/>
      </c>
      <c r="H173" s="101"/>
      <c r="I173" s="101"/>
      <c r="J173" s="101"/>
      <c r="K173" s="112"/>
      <c r="L173" s="111"/>
      <c r="M173" s="111"/>
      <c r="N173" s="112"/>
      <c r="O173" s="235"/>
      <c r="P173" s="68"/>
      <c r="R173" t="str">
        <f t="shared" si="21"/>
        <v/>
      </c>
      <c r="S173" t="str">
        <f t="shared" si="22"/>
        <v/>
      </c>
      <c r="T173" t="str">
        <f t="shared" si="23"/>
        <v/>
      </c>
      <c r="AD173" t="s">
        <v>1743</v>
      </c>
      <c r="AE173" t="s">
        <v>1744</v>
      </c>
      <c r="AF173" t="str">
        <f t="shared" si="27"/>
        <v>A679072</v>
      </c>
      <c r="AG173" t="str">
        <f>VLOOKUP(AF173,AKT!$C$4:$E$324,3,FALSE)</f>
        <v>0942</v>
      </c>
    </row>
    <row r="174" spans="1:33">
      <c r="A174" s="69"/>
      <c r="B174" s="64" t="str">
        <f t="shared" si="24"/>
        <v/>
      </c>
      <c r="C174" s="69"/>
      <c r="D174" s="64" t="str">
        <f t="shared" si="25"/>
        <v/>
      </c>
      <c r="E174" s="102"/>
      <c r="F174" s="64" t="str">
        <f t="shared" si="28"/>
        <v/>
      </c>
      <c r="G174" s="64" t="str">
        <f t="shared" si="26"/>
        <v/>
      </c>
      <c r="H174" s="101"/>
      <c r="I174" s="101"/>
      <c r="J174" s="101"/>
      <c r="K174" s="112"/>
      <c r="L174" s="111"/>
      <c r="M174" s="111"/>
      <c r="N174" s="112"/>
      <c r="O174" s="235"/>
      <c r="P174" s="68"/>
      <c r="R174" t="str">
        <f t="shared" si="21"/>
        <v/>
      </c>
      <c r="S174" t="str">
        <f t="shared" si="22"/>
        <v/>
      </c>
      <c r="T174" t="str">
        <f t="shared" si="23"/>
        <v/>
      </c>
      <c r="AD174" t="s">
        <v>1745</v>
      </c>
      <c r="AE174" t="s">
        <v>1746</v>
      </c>
      <c r="AF174" t="str">
        <f t="shared" si="27"/>
        <v>A679072</v>
      </c>
      <c r="AG174" t="str">
        <f>VLOOKUP(AF174,AKT!$C$4:$E$324,3,FALSE)</f>
        <v>0942</v>
      </c>
    </row>
    <row r="175" spans="1:33">
      <c r="A175" s="69"/>
      <c r="B175" s="64" t="str">
        <f t="shared" si="24"/>
        <v/>
      </c>
      <c r="C175" s="69"/>
      <c r="D175" s="64" t="str">
        <f t="shared" si="25"/>
        <v/>
      </c>
      <c r="E175" s="102"/>
      <c r="F175" s="64" t="str">
        <f t="shared" si="28"/>
        <v/>
      </c>
      <c r="G175" s="64" t="str">
        <f t="shared" si="26"/>
        <v/>
      </c>
      <c r="H175" s="101"/>
      <c r="I175" s="101"/>
      <c r="J175" s="101"/>
      <c r="K175" s="112"/>
      <c r="L175" s="111"/>
      <c r="M175" s="111"/>
      <c r="N175" s="112"/>
      <c r="O175" s="235"/>
      <c r="P175" s="68"/>
      <c r="R175" t="str">
        <f t="shared" si="21"/>
        <v/>
      </c>
      <c r="S175" t="str">
        <f t="shared" si="22"/>
        <v/>
      </c>
      <c r="T175" t="str">
        <f t="shared" si="23"/>
        <v/>
      </c>
      <c r="AD175" t="s">
        <v>1747</v>
      </c>
      <c r="AE175" t="s">
        <v>1748</v>
      </c>
      <c r="AF175" t="str">
        <f t="shared" si="27"/>
        <v>A679072</v>
      </c>
      <c r="AG175" t="str">
        <f>VLOOKUP(AF175,AKT!$C$4:$E$324,3,FALSE)</f>
        <v>0942</v>
      </c>
    </row>
    <row r="176" spans="1:33">
      <c r="A176" s="69"/>
      <c r="B176" s="64" t="str">
        <f t="shared" si="24"/>
        <v/>
      </c>
      <c r="C176" s="69"/>
      <c r="D176" s="64" t="str">
        <f t="shared" si="25"/>
        <v/>
      </c>
      <c r="E176" s="102"/>
      <c r="F176" s="64" t="str">
        <f t="shared" si="28"/>
        <v/>
      </c>
      <c r="G176" s="64" t="str">
        <f t="shared" si="26"/>
        <v/>
      </c>
      <c r="H176" s="101"/>
      <c r="I176" s="101"/>
      <c r="J176" s="101"/>
      <c r="K176" s="112"/>
      <c r="L176" s="111"/>
      <c r="M176" s="111"/>
      <c r="N176" s="112"/>
      <c r="O176" s="235"/>
      <c r="P176" s="68"/>
      <c r="R176" t="str">
        <f t="shared" si="21"/>
        <v/>
      </c>
      <c r="S176" t="str">
        <f t="shared" si="22"/>
        <v/>
      </c>
      <c r="T176" t="str">
        <f t="shared" si="23"/>
        <v/>
      </c>
      <c r="AD176" t="s">
        <v>1749</v>
      </c>
      <c r="AE176" t="s">
        <v>1750</v>
      </c>
      <c r="AF176" t="str">
        <f t="shared" si="27"/>
        <v>A679072</v>
      </c>
      <c r="AG176" t="str">
        <f>VLOOKUP(AF176,AKT!$C$4:$E$324,3,FALSE)</f>
        <v>0942</v>
      </c>
    </row>
    <row r="177" spans="1:33">
      <c r="A177" s="69"/>
      <c r="B177" s="64" t="str">
        <f t="shared" si="24"/>
        <v/>
      </c>
      <c r="C177" s="69"/>
      <c r="D177" s="64" t="str">
        <f t="shared" si="25"/>
        <v/>
      </c>
      <c r="E177" s="102"/>
      <c r="F177" s="64" t="str">
        <f t="shared" si="28"/>
        <v/>
      </c>
      <c r="G177" s="64" t="str">
        <f t="shared" si="26"/>
        <v/>
      </c>
      <c r="H177" s="101"/>
      <c r="I177" s="101"/>
      <c r="J177" s="101"/>
      <c r="K177" s="112"/>
      <c r="L177" s="111"/>
      <c r="M177" s="111"/>
      <c r="N177" s="112"/>
      <c r="O177" s="235"/>
      <c r="P177" s="68"/>
      <c r="R177" t="str">
        <f t="shared" si="21"/>
        <v/>
      </c>
      <c r="S177" t="str">
        <f t="shared" si="22"/>
        <v/>
      </c>
      <c r="T177" t="str">
        <f t="shared" si="23"/>
        <v/>
      </c>
      <c r="AD177" t="s">
        <v>1751</v>
      </c>
      <c r="AE177" t="s">
        <v>1752</v>
      </c>
      <c r="AF177" t="str">
        <f t="shared" si="27"/>
        <v>A679072</v>
      </c>
      <c r="AG177" t="str">
        <f>VLOOKUP(AF177,AKT!$C$4:$E$324,3,FALSE)</f>
        <v>0942</v>
      </c>
    </row>
    <row r="178" spans="1:33">
      <c r="A178" s="69"/>
      <c r="B178" s="64" t="str">
        <f t="shared" si="24"/>
        <v/>
      </c>
      <c r="C178" s="69"/>
      <c r="D178" s="64" t="str">
        <f t="shared" si="25"/>
        <v/>
      </c>
      <c r="E178" s="102"/>
      <c r="F178" s="64" t="str">
        <f t="shared" si="28"/>
        <v/>
      </c>
      <c r="G178" s="64" t="str">
        <f t="shared" si="26"/>
        <v/>
      </c>
      <c r="H178" s="101"/>
      <c r="I178" s="101"/>
      <c r="J178" s="101"/>
      <c r="K178" s="112"/>
      <c r="L178" s="111"/>
      <c r="M178" s="111"/>
      <c r="N178" s="112"/>
      <c r="O178" s="235"/>
      <c r="P178" s="68"/>
      <c r="R178" t="str">
        <f t="shared" si="21"/>
        <v/>
      </c>
      <c r="S178" t="str">
        <f t="shared" si="22"/>
        <v/>
      </c>
      <c r="T178" t="str">
        <f t="shared" si="23"/>
        <v/>
      </c>
      <c r="AD178" t="s">
        <v>1753</v>
      </c>
      <c r="AE178" t="s">
        <v>1754</v>
      </c>
      <c r="AF178" t="str">
        <f t="shared" si="27"/>
        <v>A679072</v>
      </c>
      <c r="AG178" t="str">
        <f>VLOOKUP(AF178,AKT!$C$4:$E$324,3,FALSE)</f>
        <v>0942</v>
      </c>
    </row>
    <row r="179" spans="1:33">
      <c r="A179" s="69"/>
      <c r="B179" s="64" t="str">
        <f t="shared" si="24"/>
        <v/>
      </c>
      <c r="C179" s="69"/>
      <c r="D179" s="64" t="str">
        <f t="shared" si="25"/>
        <v/>
      </c>
      <c r="E179" s="102"/>
      <c r="F179" s="64" t="str">
        <f t="shared" si="28"/>
        <v/>
      </c>
      <c r="G179" s="64" t="str">
        <f t="shared" si="26"/>
        <v/>
      </c>
      <c r="H179" s="101"/>
      <c r="I179" s="101"/>
      <c r="J179" s="101"/>
      <c r="K179" s="112"/>
      <c r="L179" s="111"/>
      <c r="M179" s="111"/>
      <c r="N179" s="112"/>
      <c r="O179" s="235"/>
      <c r="P179" s="68"/>
      <c r="R179" t="str">
        <f t="shared" si="21"/>
        <v/>
      </c>
      <c r="S179" t="str">
        <f t="shared" si="22"/>
        <v/>
      </c>
      <c r="T179" t="str">
        <f t="shared" si="23"/>
        <v/>
      </c>
      <c r="AD179" t="s">
        <v>1755</v>
      </c>
      <c r="AE179" t="s">
        <v>1756</v>
      </c>
      <c r="AF179" t="str">
        <f t="shared" si="27"/>
        <v>A679072</v>
      </c>
      <c r="AG179" t="str">
        <f>VLOOKUP(AF179,AKT!$C$4:$E$324,3,FALSE)</f>
        <v>0942</v>
      </c>
    </row>
    <row r="180" spans="1:33">
      <c r="A180" s="69"/>
      <c r="B180" s="64" t="str">
        <f t="shared" si="24"/>
        <v/>
      </c>
      <c r="C180" s="69"/>
      <c r="D180" s="64" t="str">
        <f t="shared" si="25"/>
        <v/>
      </c>
      <c r="E180" s="102"/>
      <c r="F180" s="64" t="str">
        <f t="shared" si="28"/>
        <v/>
      </c>
      <c r="G180" s="64" t="str">
        <f t="shared" si="26"/>
        <v/>
      </c>
      <c r="H180" s="101"/>
      <c r="I180" s="101"/>
      <c r="J180" s="101"/>
      <c r="K180" s="112"/>
      <c r="L180" s="111"/>
      <c r="M180" s="111"/>
      <c r="N180" s="112"/>
      <c r="O180" s="235"/>
      <c r="P180" s="68"/>
      <c r="R180" t="str">
        <f t="shared" si="21"/>
        <v/>
      </c>
      <c r="S180" t="str">
        <f t="shared" si="22"/>
        <v/>
      </c>
      <c r="T180" t="str">
        <f t="shared" si="23"/>
        <v/>
      </c>
      <c r="AD180" t="s">
        <v>1757</v>
      </c>
      <c r="AE180" t="s">
        <v>1758</v>
      </c>
      <c r="AF180" t="str">
        <f t="shared" si="27"/>
        <v>A679072</v>
      </c>
      <c r="AG180" t="str">
        <f>VLOOKUP(AF180,AKT!$C$4:$E$324,3,FALSE)</f>
        <v>0942</v>
      </c>
    </row>
    <row r="181" spans="1:33">
      <c r="A181" s="69"/>
      <c r="B181" s="64" t="str">
        <f t="shared" si="24"/>
        <v/>
      </c>
      <c r="C181" s="69"/>
      <c r="D181" s="64" t="str">
        <f t="shared" si="25"/>
        <v/>
      </c>
      <c r="E181" s="102"/>
      <c r="F181" s="64" t="str">
        <f t="shared" si="28"/>
        <v/>
      </c>
      <c r="G181" s="64" t="str">
        <f t="shared" si="26"/>
        <v/>
      </c>
      <c r="H181" s="101"/>
      <c r="I181" s="101"/>
      <c r="J181" s="101"/>
      <c r="K181" s="112"/>
      <c r="L181" s="111"/>
      <c r="M181" s="111"/>
      <c r="N181" s="112"/>
      <c r="O181" s="235"/>
      <c r="P181" s="68"/>
      <c r="R181" t="str">
        <f t="shared" si="21"/>
        <v/>
      </c>
      <c r="S181" t="str">
        <f t="shared" si="22"/>
        <v/>
      </c>
      <c r="T181" t="str">
        <f t="shared" si="23"/>
        <v/>
      </c>
      <c r="AD181" t="s">
        <v>1759</v>
      </c>
      <c r="AE181" t="s">
        <v>1760</v>
      </c>
      <c r="AF181" t="str">
        <f t="shared" si="27"/>
        <v>A679072</v>
      </c>
      <c r="AG181" t="str">
        <f>VLOOKUP(AF181,AKT!$C$4:$E$324,3,FALSE)</f>
        <v>0942</v>
      </c>
    </row>
    <row r="182" spans="1:33">
      <c r="A182" s="69"/>
      <c r="B182" s="64" t="str">
        <f t="shared" si="24"/>
        <v/>
      </c>
      <c r="C182" s="69"/>
      <c r="D182" s="64" t="str">
        <f t="shared" si="25"/>
        <v/>
      </c>
      <c r="E182" s="102"/>
      <c r="F182" s="64" t="str">
        <f t="shared" si="28"/>
        <v/>
      </c>
      <c r="G182" s="64" t="str">
        <f t="shared" si="26"/>
        <v/>
      </c>
      <c r="H182" s="101"/>
      <c r="I182" s="101"/>
      <c r="J182" s="101"/>
      <c r="K182" s="112"/>
      <c r="L182" s="111"/>
      <c r="M182" s="111"/>
      <c r="N182" s="112"/>
      <c r="O182" s="235"/>
      <c r="P182" s="68"/>
      <c r="R182" t="str">
        <f t="shared" si="21"/>
        <v/>
      </c>
      <c r="S182" t="str">
        <f t="shared" si="22"/>
        <v/>
      </c>
      <c r="T182" t="str">
        <f t="shared" si="23"/>
        <v/>
      </c>
      <c r="AD182" t="s">
        <v>1761</v>
      </c>
      <c r="AE182" t="s">
        <v>1762</v>
      </c>
      <c r="AF182" t="str">
        <f t="shared" si="27"/>
        <v>A679072</v>
      </c>
      <c r="AG182" t="str">
        <f>VLOOKUP(AF182,AKT!$C$4:$E$324,3,FALSE)</f>
        <v>0942</v>
      </c>
    </row>
    <row r="183" spans="1:33">
      <c r="A183" s="69"/>
      <c r="B183" s="64" t="str">
        <f t="shared" si="24"/>
        <v/>
      </c>
      <c r="C183" s="69"/>
      <c r="D183" s="64" t="str">
        <f t="shared" si="25"/>
        <v/>
      </c>
      <c r="E183" s="102"/>
      <c r="F183" s="64" t="str">
        <f t="shared" si="28"/>
        <v/>
      </c>
      <c r="G183" s="64" t="str">
        <f t="shared" si="26"/>
        <v/>
      </c>
      <c r="H183" s="101"/>
      <c r="I183" s="101"/>
      <c r="J183" s="101"/>
      <c r="K183" s="112"/>
      <c r="L183" s="111"/>
      <c r="M183" s="111"/>
      <c r="N183" s="112"/>
      <c r="O183" s="235"/>
      <c r="P183" s="68"/>
      <c r="R183" t="str">
        <f t="shared" si="21"/>
        <v/>
      </c>
      <c r="S183" t="str">
        <f t="shared" si="22"/>
        <v/>
      </c>
      <c r="T183" t="str">
        <f t="shared" si="23"/>
        <v/>
      </c>
      <c r="AD183" t="s">
        <v>1763</v>
      </c>
      <c r="AE183" t="s">
        <v>1764</v>
      </c>
      <c r="AF183" t="str">
        <f t="shared" si="27"/>
        <v>A679072</v>
      </c>
      <c r="AG183" t="str">
        <f>VLOOKUP(AF183,AKT!$C$4:$E$324,3,FALSE)</f>
        <v>0942</v>
      </c>
    </row>
    <row r="184" spans="1:33">
      <c r="A184" s="69"/>
      <c r="B184" s="64" t="str">
        <f t="shared" si="24"/>
        <v/>
      </c>
      <c r="C184" s="69"/>
      <c r="D184" s="64" t="str">
        <f t="shared" si="25"/>
        <v/>
      </c>
      <c r="E184" s="102"/>
      <c r="F184" s="64" t="str">
        <f t="shared" si="28"/>
        <v/>
      </c>
      <c r="G184" s="64" t="str">
        <f t="shared" si="26"/>
        <v/>
      </c>
      <c r="H184" s="101"/>
      <c r="I184" s="101"/>
      <c r="J184" s="101"/>
      <c r="K184" s="112"/>
      <c r="L184" s="111"/>
      <c r="M184" s="111"/>
      <c r="N184" s="112"/>
      <c r="O184" s="235"/>
      <c r="P184" s="68"/>
      <c r="R184" t="str">
        <f t="shared" si="21"/>
        <v/>
      </c>
      <c r="S184" t="str">
        <f t="shared" si="22"/>
        <v/>
      </c>
      <c r="T184" t="str">
        <f t="shared" si="23"/>
        <v/>
      </c>
      <c r="AD184" t="s">
        <v>1765</v>
      </c>
      <c r="AE184" t="s">
        <v>1766</v>
      </c>
      <c r="AF184" t="str">
        <f t="shared" si="27"/>
        <v>A679072</v>
      </c>
      <c r="AG184" t="str">
        <f>VLOOKUP(AF184,AKT!$C$4:$E$324,3,FALSE)</f>
        <v>0942</v>
      </c>
    </row>
    <row r="185" spans="1:33">
      <c r="A185" s="69"/>
      <c r="B185" s="64" t="str">
        <f t="shared" si="24"/>
        <v/>
      </c>
      <c r="C185" s="69"/>
      <c r="D185" s="64" t="str">
        <f t="shared" si="25"/>
        <v/>
      </c>
      <c r="E185" s="102"/>
      <c r="F185" s="64" t="str">
        <f t="shared" si="28"/>
        <v/>
      </c>
      <c r="G185" s="64" t="str">
        <f t="shared" si="26"/>
        <v/>
      </c>
      <c r="H185" s="101"/>
      <c r="I185" s="101"/>
      <c r="J185" s="101"/>
      <c r="K185" s="112"/>
      <c r="L185" s="111"/>
      <c r="M185" s="111"/>
      <c r="N185" s="112"/>
      <c r="O185" s="235"/>
      <c r="P185" s="68"/>
      <c r="R185" t="str">
        <f t="shared" si="21"/>
        <v/>
      </c>
      <c r="S185" t="str">
        <f t="shared" si="22"/>
        <v/>
      </c>
      <c r="T185" t="str">
        <f t="shared" si="23"/>
        <v/>
      </c>
      <c r="AD185" t="s">
        <v>1767</v>
      </c>
      <c r="AE185" t="s">
        <v>1768</v>
      </c>
      <c r="AF185" t="str">
        <f t="shared" si="27"/>
        <v>A679072</v>
      </c>
      <c r="AG185" t="str">
        <f>VLOOKUP(AF185,AKT!$C$4:$E$324,3,FALSE)</f>
        <v>0942</v>
      </c>
    </row>
    <row r="186" spans="1:33">
      <c r="A186" s="69"/>
      <c r="B186" s="64" t="str">
        <f t="shared" si="24"/>
        <v/>
      </c>
      <c r="C186" s="69"/>
      <c r="D186" s="64" t="str">
        <f t="shared" si="25"/>
        <v/>
      </c>
      <c r="E186" s="102"/>
      <c r="F186" s="64" t="str">
        <f t="shared" si="28"/>
        <v/>
      </c>
      <c r="G186" s="64" t="str">
        <f t="shared" si="26"/>
        <v/>
      </c>
      <c r="H186" s="101"/>
      <c r="I186" s="101"/>
      <c r="J186" s="101"/>
      <c r="K186" s="112"/>
      <c r="L186" s="111"/>
      <c r="M186" s="111"/>
      <c r="N186" s="112"/>
      <c r="O186" s="235"/>
      <c r="P186" s="68"/>
      <c r="R186" t="str">
        <f t="shared" si="21"/>
        <v/>
      </c>
      <c r="S186" t="str">
        <f t="shared" si="22"/>
        <v/>
      </c>
      <c r="T186" t="str">
        <f t="shared" si="23"/>
        <v/>
      </c>
      <c r="AD186" t="s">
        <v>1769</v>
      </c>
      <c r="AE186" t="s">
        <v>1770</v>
      </c>
      <c r="AF186" t="str">
        <f t="shared" si="27"/>
        <v>A679072</v>
      </c>
      <c r="AG186" t="str">
        <f>VLOOKUP(AF186,AKT!$C$4:$E$324,3,FALSE)</f>
        <v>0942</v>
      </c>
    </row>
    <row r="187" spans="1:33">
      <c r="A187" s="69"/>
      <c r="B187" s="64" t="str">
        <f t="shared" si="24"/>
        <v/>
      </c>
      <c r="C187" s="69"/>
      <c r="D187" s="64" t="str">
        <f t="shared" si="25"/>
        <v/>
      </c>
      <c r="E187" s="102"/>
      <c r="F187" s="64" t="str">
        <f t="shared" si="28"/>
        <v/>
      </c>
      <c r="G187" s="64" t="str">
        <f t="shared" si="26"/>
        <v/>
      </c>
      <c r="H187" s="101"/>
      <c r="I187" s="101"/>
      <c r="J187" s="101"/>
      <c r="K187" s="112"/>
      <c r="L187" s="111"/>
      <c r="M187" s="111"/>
      <c r="N187" s="112"/>
      <c r="O187" s="235"/>
      <c r="P187" s="68"/>
      <c r="R187" t="str">
        <f t="shared" si="21"/>
        <v/>
      </c>
      <c r="S187" t="str">
        <f t="shared" si="22"/>
        <v/>
      </c>
      <c r="T187" t="str">
        <f t="shared" si="23"/>
        <v/>
      </c>
      <c r="AD187" t="s">
        <v>1771</v>
      </c>
      <c r="AE187" t="s">
        <v>1772</v>
      </c>
      <c r="AF187" t="str">
        <f t="shared" si="27"/>
        <v>A679072</v>
      </c>
      <c r="AG187" t="str">
        <f>VLOOKUP(AF187,AKT!$C$4:$E$324,3,FALSE)</f>
        <v>0942</v>
      </c>
    </row>
    <row r="188" spans="1:33">
      <c r="A188" s="69"/>
      <c r="B188" s="64" t="str">
        <f t="shared" si="24"/>
        <v/>
      </c>
      <c r="C188" s="69"/>
      <c r="D188" s="64" t="str">
        <f t="shared" si="25"/>
        <v/>
      </c>
      <c r="E188" s="102"/>
      <c r="F188" s="64" t="str">
        <f t="shared" si="28"/>
        <v/>
      </c>
      <c r="G188" s="64" t="str">
        <f t="shared" si="26"/>
        <v/>
      </c>
      <c r="H188" s="101"/>
      <c r="I188" s="101"/>
      <c r="J188" s="101"/>
      <c r="K188" s="112"/>
      <c r="L188" s="111"/>
      <c r="M188" s="111"/>
      <c r="N188" s="112"/>
      <c r="O188" s="235"/>
      <c r="P188" s="68"/>
      <c r="R188" t="str">
        <f t="shared" si="21"/>
        <v/>
      </c>
      <c r="S188" t="str">
        <f t="shared" si="22"/>
        <v/>
      </c>
      <c r="T188" t="str">
        <f t="shared" si="23"/>
        <v/>
      </c>
      <c r="AD188" t="s">
        <v>1773</v>
      </c>
      <c r="AE188" t="s">
        <v>1774</v>
      </c>
      <c r="AF188" t="str">
        <f t="shared" si="27"/>
        <v>A679072</v>
      </c>
      <c r="AG188" t="str">
        <f>VLOOKUP(AF188,AKT!$C$4:$E$324,3,FALSE)</f>
        <v>0942</v>
      </c>
    </row>
    <row r="189" spans="1:33">
      <c r="A189" s="69"/>
      <c r="B189" s="64" t="str">
        <f t="shared" si="24"/>
        <v/>
      </c>
      <c r="C189" s="69"/>
      <c r="D189" s="64" t="str">
        <f t="shared" si="25"/>
        <v/>
      </c>
      <c r="E189" s="102"/>
      <c r="F189" s="64" t="str">
        <f t="shared" si="28"/>
        <v/>
      </c>
      <c r="G189" s="64" t="str">
        <f t="shared" si="26"/>
        <v/>
      </c>
      <c r="H189" s="101"/>
      <c r="I189" s="101"/>
      <c r="J189" s="101"/>
      <c r="K189" s="112"/>
      <c r="L189" s="111"/>
      <c r="M189" s="111"/>
      <c r="N189" s="112"/>
      <c r="O189" s="235"/>
      <c r="P189" s="68"/>
      <c r="R189" t="str">
        <f t="shared" si="21"/>
        <v/>
      </c>
      <c r="S189" t="str">
        <f t="shared" si="22"/>
        <v/>
      </c>
      <c r="T189" t="str">
        <f t="shared" si="23"/>
        <v/>
      </c>
      <c r="AD189" t="s">
        <v>1775</v>
      </c>
      <c r="AE189" t="s">
        <v>1776</v>
      </c>
      <c r="AF189" t="str">
        <f t="shared" si="27"/>
        <v>A679072</v>
      </c>
      <c r="AG189" t="str">
        <f>VLOOKUP(AF189,AKT!$C$4:$E$324,3,FALSE)</f>
        <v>0942</v>
      </c>
    </row>
    <row r="190" spans="1:33">
      <c r="A190" s="69"/>
      <c r="B190" s="64" t="str">
        <f t="shared" si="24"/>
        <v/>
      </c>
      <c r="C190" s="69"/>
      <c r="D190" s="64" t="str">
        <f t="shared" si="25"/>
        <v/>
      </c>
      <c r="E190" s="102"/>
      <c r="F190" s="64" t="str">
        <f t="shared" si="28"/>
        <v/>
      </c>
      <c r="G190" s="64" t="str">
        <f t="shared" si="26"/>
        <v/>
      </c>
      <c r="H190" s="101"/>
      <c r="I190" s="101"/>
      <c r="J190" s="101"/>
      <c r="K190" s="112"/>
      <c r="L190" s="111"/>
      <c r="M190" s="111"/>
      <c r="N190" s="112"/>
      <c r="O190" s="235"/>
      <c r="P190" s="68"/>
      <c r="R190" t="str">
        <f t="shared" si="21"/>
        <v/>
      </c>
      <c r="S190" t="str">
        <f t="shared" si="22"/>
        <v/>
      </c>
      <c r="T190" t="str">
        <f t="shared" si="23"/>
        <v/>
      </c>
      <c r="AD190" t="s">
        <v>1777</v>
      </c>
      <c r="AE190" t="s">
        <v>1778</v>
      </c>
      <c r="AF190" t="str">
        <f t="shared" si="27"/>
        <v>A679072</v>
      </c>
      <c r="AG190" t="str">
        <f>VLOOKUP(AF190,AKT!$C$4:$E$324,3,FALSE)</f>
        <v>0942</v>
      </c>
    </row>
    <row r="191" spans="1:33">
      <c r="A191" s="69"/>
      <c r="B191" s="64" t="str">
        <f t="shared" si="24"/>
        <v/>
      </c>
      <c r="C191" s="69"/>
      <c r="D191" s="64" t="str">
        <f t="shared" si="25"/>
        <v/>
      </c>
      <c r="E191" s="102"/>
      <c r="F191" s="64" t="str">
        <f t="shared" si="28"/>
        <v/>
      </c>
      <c r="G191" s="64" t="str">
        <f t="shared" si="26"/>
        <v/>
      </c>
      <c r="H191" s="101"/>
      <c r="I191" s="101"/>
      <c r="J191" s="101"/>
      <c r="K191" s="112"/>
      <c r="L191" s="111"/>
      <c r="M191" s="111"/>
      <c r="N191" s="112"/>
      <c r="O191" s="235"/>
      <c r="P191" s="68"/>
      <c r="R191" t="str">
        <f t="shared" ref="R191:R254" si="29">LEFT(C191,3)</f>
        <v/>
      </c>
      <c r="S191" t="str">
        <f t="shared" ref="S191:S254" si="30">LEFT(C191,2)</f>
        <v/>
      </c>
      <c r="T191" t="str">
        <f t="shared" ref="T191:T254" si="31">MID(G191,2,2)</f>
        <v/>
      </c>
      <c r="AD191" t="s">
        <v>1779</v>
      </c>
      <c r="AE191" t="s">
        <v>1780</v>
      </c>
      <c r="AF191" t="str">
        <f t="shared" si="27"/>
        <v>A679072</v>
      </c>
      <c r="AG191" t="str">
        <f>VLOOKUP(AF191,AKT!$C$4:$E$324,3,FALSE)</f>
        <v>0942</v>
      </c>
    </row>
    <row r="192" spans="1:33">
      <c r="A192" s="69"/>
      <c r="B192" s="64" t="str">
        <f t="shared" si="24"/>
        <v/>
      </c>
      <c r="C192" s="69"/>
      <c r="D192" s="64" t="str">
        <f t="shared" si="25"/>
        <v/>
      </c>
      <c r="E192" s="102"/>
      <c r="F192" s="64" t="str">
        <f t="shared" si="28"/>
        <v/>
      </c>
      <c r="G192" s="64" t="str">
        <f t="shared" si="26"/>
        <v/>
      </c>
      <c r="H192" s="101"/>
      <c r="I192" s="101"/>
      <c r="J192" s="101"/>
      <c r="K192" s="112"/>
      <c r="L192" s="111"/>
      <c r="M192" s="111"/>
      <c r="N192" s="112"/>
      <c r="O192" s="235"/>
      <c r="P192" s="68"/>
      <c r="R192" t="str">
        <f t="shared" si="29"/>
        <v/>
      </c>
      <c r="S192" t="str">
        <f t="shared" si="30"/>
        <v/>
      </c>
      <c r="T192" t="str">
        <f t="shared" si="31"/>
        <v/>
      </c>
      <c r="AD192" t="s">
        <v>1781</v>
      </c>
      <c r="AE192" t="s">
        <v>1782</v>
      </c>
      <c r="AF192" t="str">
        <f t="shared" si="27"/>
        <v>A679072</v>
      </c>
      <c r="AG192" t="str">
        <f>VLOOKUP(AF192,AKT!$C$4:$E$324,3,FALSE)</f>
        <v>0942</v>
      </c>
    </row>
    <row r="193" spans="1:33">
      <c r="A193" s="69"/>
      <c r="B193" s="64" t="str">
        <f t="shared" si="24"/>
        <v/>
      </c>
      <c r="C193" s="69"/>
      <c r="D193" s="64" t="str">
        <f t="shared" si="25"/>
        <v/>
      </c>
      <c r="E193" s="102"/>
      <c r="F193" s="64" t="str">
        <f t="shared" si="28"/>
        <v/>
      </c>
      <c r="G193" s="64" t="str">
        <f t="shared" si="26"/>
        <v/>
      </c>
      <c r="H193" s="101"/>
      <c r="I193" s="101"/>
      <c r="J193" s="101"/>
      <c r="K193" s="112"/>
      <c r="L193" s="111"/>
      <c r="M193" s="111"/>
      <c r="N193" s="112"/>
      <c r="O193" s="235"/>
      <c r="P193" s="68"/>
      <c r="R193" t="str">
        <f t="shared" si="29"/>
        <v/>
      </c>
      <c r="S193" t="str">
        <f t="shared" si="30"/>
        <v/>
      </c>
      <c r="T193" t="str">
        <f t="shared" si="31"/>
        <v/>
      </c>
      <c r="AD193" t="s">
        <v>1783</v>
      </c>
      <c r="AE193" t="s">
        <v>1784</v>
      </c>
      <c r="AF193" t="str">
        <f t="shared" si="27"/>
        <v>A679072</v>
      </c>
      <c r="AG193" t="str">
        <f>VLOOKUP(AF193,AKT!$C$4:$E$324,3,FALSE)</f>
        <v>0942</v>
      </c>
    </row>
    <row r="194" spans="1:33">
      <c r="A194" s="69"/>
      <c r="B194" s="64" t="str">
        <f t="shared" si="24"/>
        <v/>
      </c>
      <c r="C194" s="69"/>
      <c r="D194" s="64" t="str">
        <f t="shared" si="25"/>
        <v/>
      </c>
      <c r="E194" s="102"/>
      <c r="F194" s="64" t="str">
        <f t="shared" si="28"/>
        <v/>
      </c>
      <c r="G194" s="64" t="str">
        <f t="shared" si="26"/>
        <v/>
      </c>
      <c r="H194" s="101"/>
      <c r="I194" s="101"/>
      <c r="J194" s="101"/>
      <c r="K194" s="112"/>
      <c r="L194" s="111"/>
      <c r="M194" s="111"/>
      <c r="N194" s="112"/>
      <c r="O194" s="235"/>
      <c r="P194" s="68"/>
      <c r="R194" t="str">
        <f t="shared" si="29"/>
        <v/>
      </c>
      <c r="S194" t="str">
        <f t="shared" si="30"/>
        <v/>
      </c>
      <c r="T194" t="str">
        <f t="shared" si="31"/>
        <v/>
      </c>
      <c r="AD194" t="s">
        <v>1785</v>
      </c>
      <c r="AE194" t="s">
        <v>1786</v>
      </c>
      <c r="AF194" t="str">
        <f t="shared" si="27"/>
        <v>A679072</v>
      </c>
      <c r="AG194" t="str">
        <f>VLOOKUP(AF194,AKT!$C$4:$E$324,3,FALSE)</f>
        <v>0942</v>
      </c>
    </row>
    <row r="195" spans="1:33">
      <c r="A195" s="69"/>
      <c r="B195" s="64" t="str">
        <f t="shared" ref="B195:B258" si="32">IFERROR(VLOOKUP(A195,$U$6:$V$23,2,FALSE),"")</f>
        <v/>
      </c>
      <c r="C195" s="69"/>
      <c r="D195" s="64" t="str">
        <f t="shared" ref="D195:D258" si="33">IFERROR(VLOOKUP(C195,$X$5:$Z$124,2,FALSE),"")</f>
        <v/>
      </c>
      <c r="E195" s="102"/>
      <c r="F195" s="64" t="str">
        <f t="shared" si="28"/>
        <v/>
      </c>
      <c r="G195" s="64" t="str">
        <f t="shared" ref="G195:G258" si="34">IFERROR(VLOOKUP(E195,$AD$6:$AG$1085,4,FALSE),"")</f>
        <v/>
      </c>
      <c r="H195" s="101"/>
      <c r="I195" s="101"/>
      <c r="J195" s="101"/>
      <c r="K195" s="112"/>
      <c r="L195" s="111"/>
      <c r="M195" s="111"/>
      <c r="N195" s="112"/>
      <c r="O195" s="235"/>
      <c r="P195" s="68"/>
      <c r="R195" t="str">
        <f t="shared" si="29"/>
        <v/>
      </c>
      <c r="S195" t="str">
        <f t="shared" si="30"/>
        <v/>
      </c>
      <c r="T195" t="str">
        <f t="shared" si="31"/>
        <v/>
      </c>
      <c r="AD195" t="s">
        <v>1787</v>
      </c>
      <c r="AE195" t="s">
        <v>1788</v>
      </c>
      <c r="AF195" t="str">
        <f t="shared" ref="AF195:AF258" si="35">LEFT(AD195,7)</f>
        <v>A679072</v>
      </c>
      <c r="AG195" t="str">
        <f>VLOOKUP(AF195,AKT!$C$4:$E$324,3,FALSE)</f>
        <v>0942</v>
      </c>
    </row>
    <row r="196" spans="1:33">
      <c r="A196" s="69"/>
      <c r="B196" s="64" t="str">
        <f t="shared" si="32"/>
        <v/>
      </c>
      <c r="C196" s="69"/>
      <c r="D196" s="64" t="str">
        <f t="shared" si="33"/>
        <v/>
      </c>
      <c r="E196" s="102"/>
      <c r="F196" s="64" t="str">
        <f t="shared" si="28"/>
        <v/>
      </c>
      <c r="G196" s="64" t="str">
        <f t="shared" si="34"/>
        <v/>
      </c>
      <c r="H196" s="101"/>
      <c r="I196" s="101"/>
      <c r="J196" s="101"/>
      <c r="K196" s="112"/>
      <c r="L196" s="111"/>
      <c r="M196" s="111"/>
      <c r="N196" s="112"/>
      <c r="O196" s="235"/>
      <c r="P196" s="68"/>
      <c r="R196" t="str">
        <f t="shared" si="29"/>
        <v/>
      </c>
      <c r="S196" t="str">
        <f t="shared" si="30"/>
        <v/>
      </c>
      <c r="T196" t="str">
        <f t="shared" si="31"/>
        <v/>
      </c>
      <c r="AD196" t="s">
        <v>1789</v>
      </c>
      <c r="AE196" t="s">
        <v>1790</v>
      </c>
      <c r="AF196" t="str">
        <f t="shared" si="35"/>
        <v>A679072</v>
      </c>
      <c r="AG196" t="str">
        <f>VLOOKUP(AF196,AKT!$C$4:$E$324,3,FALSE)</f>
        <v>0942</v>
      </c>
    </row>
    <row r="197" spans="1:33">
      <c r="A197" s="69"/>
      <c r="B197" s="64" t="str">
        <f t="shared" si="32"/>
        <v/>
      </c>
      <c r="C197" s="69"/>
      <c r="D197" s="64" t="str">
        <f t="shared" si="33"/>
        <v/>
      </c>
      <c r="E197" s="102"/>
      <c r="F197" s="64" t="str">
        <f t="shared" si="28"/>
        <v/>
      </c>
      <c r="G197" s="64" t="str">
        <f t="shared" si="34"/>
        <v/>
      </c>
      <c r="H197" s="101"/>
      <c r="I197" s="101"/>
      <c r="J197" s="101"/>
      <c r="K197" s="112"/>
      <c r="L197" s="111"/>
      <c r="M197" s="111"/>
      <c r="N197" s="112"/>
      <c r="O197" s="235"/>
      <c r="P197" s="68"/>
      <c r="R197" t="str">
        <f t="shared" si="29"/>
        <v/>
      </c>
      <c r="S197" t="str">
        <f t="shared" si="30"/>
        <v/>
      </c>
      <c r="T197" t="str">
        <f t="shared" si="31"/>
        <v/>
      </c>
      <c r="AD197" t="s">
        <v>1791</v>
      </c>
      <c r="AE197" t="s">
        <v>1792</v>
      </c>
      <c r="AF197" t="str">
        <f t="shared" si="35"/>
        <v>A679072</v>
      </c>
      <c r="AG197" t="str">
        <f>VLOOKUP(AF197,AKT!$C$4:$E$324,3,FALSE)</f>
        <v>0942</v>
      </c>
    </row>
    <row r="198" spans="1:33">
      <c r="A198" s="69"/>
      <c r="B198" s="64" t="str">
        <f t="shared" si="32"/>
        <v/>
      </c>
      <c r="C198" s="69"/>
      <c r="D198" s="64" t="str">
        <f t="shared" si="33"/>
        <v/>
      </c>
      <c r="E198" s="102"/>
      <c r="F198" s="64" t="str">
        <f t="shared" si="28"/>
        <v/>
      </c>
      <c r="G198" s="64" t="str">
        <f t="shared" si="34"/>
        <v/>
      </c>
      <c r="H198" s="101"/>
      <c r="I198" s="101"/>
      <c r="J198" s="101"/>
      <c r="K198" s="112"/>
      <c r="L198" s="111"/>
      <c r="M198" s="111"/>
      <c r="N198" s="112"/>
      <c r="O198" s="235"/>
      <c r="P198" s="68"/>
      <c r="R198" t="str">
        <f t="shared" si="29"/>
        <v/>
      </c>
      <c r="S198" t="str">
        <f t="shared" si="30"/>
        <v/>
      </c>
      <c r="T198" t="str">
        <f t="shared" si="31"/>
        <v/>
      </c>
      <c r="AD198" t="s">
        <v>1793</v>
      </c>
      <c r="AE198" t="s">
        <v>1794</v>
      </c>
      <c r="AF198" t="str">
        <f t="shared" si="35"/>
        <v>A679072</v>
      </c>
      <c r="AG198" t="str">
        <f>VLOOKUP(AF198,AKT!$C$4:$E$324,3,FALSE)</f>
        <v>0942</v>
      </c>
    </row>
    <row r="199" spans="1:33">
      <c r="A199" s="69"/>
      <c r="B199" s="64" t="str">
        <f t="shared" si="32"/>
        <v/>
      </c>
      <c r="C199" s="69"/>
      <c r="D199" s="64" t="str">
        <f t="shared" si="33"/>
        <v/>
      </c>
      <c r="E199" s="102"/>
      <c r="F199" s="64" t="str">
        <f t="shared" si="28"/>
        <v/>
      </c>
      <c r="G199" s="64" t="str">
        <f t="shared" si="34"/>
        <v/>
      </c>
      <c r="H199" s="101"/>
      <c r="I199" s="101"/>
      <c r="J199" s="101"/>
      <c r="K199" s="112"/>
      <c r="L199" s="111"/>
      <c r="M199" s="111"/>
      <c r="N199" s="112"/>
      <c r="O199" s="235"/>
      <c r="P199" s="68"/>
      <c r="R199" t="str">
        <f t="shared" si="29"/>
        <v/>
      </c>
      <c r="S199" t="str">
        <f t="shared" si="30"/>
        <v/>
      </c>
      <c r="T199" t="str">
        <f t="shared" si="31"/>
        <v/>
      </c>
      <c r="AD199" t="s">
        <v>1795</v>
      </c>
      <c r="AE199" t="s">
        <v>1796</v>
      </c>
      <c r="AF199" t="str">
        <f t="shared" si="35"/>
        <v>A679072</v>
      </c>
      <c r="AG199" t="str">
        <f>VLOOKUP(AF199,AKT!$C$4:$E$324,3,FALSE)</f>
        <v>0942</v>
      </c>
    </row>
    <row r="200" spans="1:33">
      <c r="A200" s="69"/>
      <c r="B200" s="64" t="str">
        <f t="shared" si="32"/>
        <v/>
      </c>
      <c r="C200" s="69"/>
      <c r="D200" s="64" t="str">
        <f t="shared" si="33"/>
        <v/>
      </c>
      <c r="E200" s="102"/>
      <c r="F200" s="64" t="str">
        <f t="shared" si="28"/>
        <v/>
      </c>
      <c r="G200" s="64" t="str">
        <f t="shared" si="34"/>
        <v/>
      </c>
      <c r="H200" s="101"/>
      <c r="I200" s="101"/>
      <c r="J200" s="101"/>
      <c r="K200" s="112"/>
      <c r="L200" s="111"/>
      <c r="M200" s="111"/>
      <c r="N200" s="112"/>
      <c r="O200" s="235"/>
      <c r="P200" s="68"/>
      <c r="R200" t="str">
        <f t="shared" si="29"/>
        <v/>
      </c>
      <c r="S200" t="str">
        <f t="shared" si="30"/>
        <v/>
      </c>
      <c r="T200" t="str">
        <f t="shared" si="31"/>
        <v/>
      </c>
      <c r="AD200" t="s">
        <v>1797</v>
      </c>
      <c r="AE200" t="s">
        <v>1798</v>
      </c>
      <c r="AF200" t="str">
        <f t="shared" si="35"/>
        <v>A679072</v>
      </c>
      <c r="AG200" t="str">
        <f>VLOOKUP(AF200,AKT!$C$4:$E$324,3,FALSE)</f>
        <v>0942</v>
      </c>
    </row>
    <row r="201" spans="1:33">
      <c r="A201" s="69"/>
      <c r="B201" s="64" t="str">
        <f t="shared" si="32"/>
        <v/>
      </c>
      <c r="C201" s="69"/>
      <c r="D201" s="64" t="str">
        <f t="shared" si="33"/>
        <v/>
      </c>
      <c r="E201" s="102"/>
      <c r="F201" s="64" t="str">
        <f t="shared" si="28"/>
        <v/>
      </c>
      <c r="G201" s="64" t="str">
        <f t="shared" si="34"/>
        <v/>
      </c>
      <c r="H201" s="101"/>
      <c r="I201" s="101"/>
      <c r="J201" s="101"/>
      <c r="K201" s="112"/>
      <c r="L201" s="111"/>
      <c r="M201" s="111"/>
      <c r="N201" s="112"/>
      <c r="O201" s="235"/>
      <c r="P201" s="68"/>
      <c r="R201" t="str">
        <f t="shared" si="29"/>
        <v/>
      </c>
      <c r="S201" t="str">
        <f t="shared" si="30"/>
        <v/>
      </c>
      <c r="T201" t="str">
        <f t="shared" si="31"/>
        <v/>
      </c>
      <c r="AD201" t="s">
        <v>1799</v>
      </c>
      <c r="AE201" t="s">
        <v>1800</v>
      </c>
      <c r="AF201" t="str">
        <f t="shared" si="35"/>
        <v>A679072</v>
      </c>
      <c r="AG201" t="str">
        <f>VLOOKUP(AF201,AKT!$C$4:$E$324,3,FALSE)</f>
        <v>0942</v>
      </c>
    </row>
    <row r="202" spans="1:33">
      <c r="A202" s="69"/>
      <c r="B202" s="64" t="str">
        <f t="shared" si="32"/>
        <v/>
      </c>
      <c r="C202" s="69"/>
      <c r="D202" s="64" t="str">
        <f t="shared" si="33"/>
        <v/>
      </c>
      <c r="E202" s="102"/>
      <c r="F202" s="64" t="str">
        <f t="shared" si="28"/>
        <v/>
      </c>
      <c r="G202" s="64" t="str">
        <f t="shared" si="34"/>
        <v/>
      </c>
      <c r="H202" s="101"/>
      <c r="I202" s="101"/>
      <c r="J202" s="101"/>
      <c r="K202" s="112"/>
      <c r="L202" s="111"/>
      <c r="M202" s="111"/>
      <c r="N202" s="112"/>
      <c r="O202" s="235"/>
      <c r="P202" s="68"/>
      <c r="R202" t="str">
        <f t="shared" si="29"/>
        <v/>
      </c>
      <c r="S202" t="str">
        <f t="shared" si="30"/>
        <v/>
      </c>
      <c r="T202" t="str">
        <f t="shared" si="31"/>
        <v/>
      </c>
      <c r="AD202" t="s">
        <v>1801</v>
      </c>
      <c r="AE202" t="s">
        <v>1802</v>
      </c>
      <c r="AF202" t="str">
        <f t="shared" si="35"/>
        <v>A679072</v>
      </c>
      <c r="AG202" t="str">
        <f>VLOOKUP(AF202,AKT!$C$4:$E$324,3,FALSE)</f>
        <v>0942</v>
      </c>
    </row>
    <row r="203" spans="1:33">
      <c r="A203" s="69"/>
      <c r="B203" s="64" t="str">
        <f t="shared" si="32"/>
        <v/>
      </c>
      <c r="C203" s="69"/>
      <c r="D203" s="64" t="str">
        <f t="shared" si="33"/>
        <v/>
      </c>
      <c r="E203" s="102"/>
      <c r="F203" s="64" t="str">
        <f t="shared" si="28"/>
        <v/>
      </c>
      <c r="G203" s="64" t="str">
        <f t="shared" si="34"/>
        <v/>
      </c>
      <c r="H203" s="101"/>
      <c r="I203" s="101"/>
      <c r="J203" s="101"/>
      <c r="K203" s="112"/>
      <c r="L203" s="111"/>
      <c r="M203" s="111"/>
      <c r="N203" s="112"/>
      <c r="O203" s="235"/>
      <c r="P203" s="68"/>
      <c r="R203" t="str">
        <f t="shared" si="29"/>
        <v/>
      </c>
      <c r="S203" t="str">
        <f t="shared" si="30"/>
        <v/>
      </c>
      <c r="T203" t="str">
        <f t="shared" si="31"/>
        <v/>
      </c>
      <c r="AD203" t="s">
        <v>1803</v>
      </c>
      <c r="AE203" t="s">
        <v>1804</v>
      </c>
      <c r="AF203" t="str">
        <f t="shared" si="35"/>
        <v>A679072</v>
      </c>
      <c r="AG203" t="str">
        <f>VLOOKUP(AF203,AKT!$C$4:$E$324,3,FALSE)</f>
        <v>0942</v>
      </c>
    </row>
    <row r="204" spans="1:33">
      <c r="A204" s="69"/>
      <c r="B204" s="64" t="str">
        <f t="shared" si="32"/>
        <v/>
      </c>
      <c r="C204" s="69"/>
      <c r="D204" s="64" t="str">
        <f t="shared" si="33"/>
        <v/>
      </c>
      <c r="E204" s="102"/>
      <c r="F204" s="64" t="str">
        <f t="shared" si="28"/>
        <v/>
      </c>
      <c r="G204" s="64" t="str">
        <f t="shared" si="34"/>
        <v/>
      </c>
      <c r="H204" s="101"/>
      <c r="I204" s="101"/>
      <c r="J204" s="101"/>
      <c r="K204" s="112"/>
      <c r="L204" s="111"/>
      <c r="M204" s="111"/>
      <c r="N204" s="112"/>
      <c r="O204" s="235"/>
      <c r="P204" s="68"/>
      <c r="R204" t="str">
        <f t="shared" si="29"/>
        <v/>
      </c>
      <c r="S204" t="str">
        <f t="shared" si="30"/>
        <v/>
      </c>
      <c r="T204" t="str">
        <f t="shared" si="31"/>
        <v/>
      </c>
      <c r="AD204" t="s">
        <v>1805</v>
      </c>
      <c r="AE204" t="s">
        <v>1806</v>
      </c>
      <c r="AF204" t="str">
        <f t="shared" si="35"/>
        <v>A679072</v>
      </c>
      <c r="AG204" t="str">
        <f>VLOOKUP(AF204,AKT!$C$4:$E$324,3,FALSE)</f>
        <v>0942</v>
      </c>
    </row>
    <row r="205" spans="1:33">
      <c r="A205" s="69"/>
      <c r="B205" s="64" t="str">
        <f t="shared" si="32"/>
        <v/>
      </c>
      <c r="C205" s="69"/>
      <c r="D205" s="64" t="str">
        <f t="shared" si="33"/>
        <v/>
      </c>
      <c r="E205" s="102"/>
      <c r="F205" s="64" t="str">
        <f t="shared" si="28"/>
        <v/>
      </c>
      <c r="G205" s="64" t="str">
        <f t="shared" si="34"/>
        <v/>
      </c>
      <c r="H205" s="101"/>
      <c r="I205" s="101"/>
      <c r="J205" s="101"/>
      <c r="K205" s="112"/>
      <c r="L205" s="111"/>
      <c r="M205" s="111"/>
      <c r="N205" s="112"/>
      <c r="O205" s="235"/>
      <c r="P205" s="68"/>
      <c r="R205" t="str">
        <f t="shared" si="29"/>
        <v/>
      </c>
      <c r="S205" t="str">
        <f t="shared" si="30"/>
        <v/>
      </c>
      <c r="T205" t="str">
        <f t="shared" si="31"/>
        <v/>
      </c>
      <c r="AD205" t="s">
        <v>1807</v>
      </c>
      <c r="AE205" t="s">
        <v>1808</v>
      </c>
      <c r="AF205" t="str">
        <f t="shared" si="35"/>
        <v>A679072</v>
      </c>
      <c r="AG205" t="str">
        <f>VLOOKUP(AF205,AKT!$C$4:$E$324,3,FALSE)</f>
        <v>0942</v>
      </c>
    </row>
    <row r="206" spans="1:33">
      <c r="A206" s="69"/>
      <c r="B206" s="64" t="str">
        <f t="shared" si="32"/>
        <v/>
      </c>
      <c r="C206" s="69"/>
      <c r="D206" s="64" t="str">
        <f t="shared" si="33"/>
        <v/>
      </c>
      <c r="E206" s="102"/>
      <c r="F206" s="64" t="str">
        <f t="shared" si="28"/>
        <v/>
      </c>
      <c r="G206" s="64" t="str">
        <f t="shared" si="34"/>
        <v/>
      </c>
      <c r="H206" s="101"/>
      <c r="I206" s="101"/>
      <c r="J206" s="101"/>
      <c r="K206" s="112"/>
      <c r="L206" s="111"/>
      <c r="M206" s="111"/>
      <c r="N206" s="112"/>
      <c r="O206" s="235"/>
      <c r="P206" s="68"/>
      <c r="R206" t="str">
        <f t="shared" si="29"/>
        <v/>
      </c>
      <c r="S206" t="str">
        <f t="shared" si="30"/>
        <v/>
      </c>
      <c r="T206" t="str">
        <f t="shared" si="31"/>
        <v/>
      </c>
      <c r="AD206" t="s">
        <v>1809</v>
      </c>
      <c r="AE206" t="s">
        <v>1810</v>
      </c>
      <c r="AF206" t="str">
        <f t="shared" si="35"/>
        <v>A679072</v>
      </c>
      <c r="AG206" t="str">
        <f>VLOOKUP(AF206,AKT!$C$4:$E$324,3,FALSE)</f>
        <v>0942</v>
      </c>
    </row>
    <row r="207" spans="1:33">
      <c r="A207" s="69"/>
      <c r="B207" s="64" t="str">
        <f t="shared" si="32"/>
        <v/>
      </c>
      <c r="C207" s="69"/>
      <c r="D207" s="64" t="str">
        <f t="shared" si="33"/>
        <v/>
      </c>
      <c r="E207" s="102"/>
      <c r="F207" s="64" t="str">
        <f t="shared" si="28"/>
        <v/>
      </c>
      <c r="G207" s="64" t="str">
        <f t="shared" si="34"/>
        <v/>
      </c>
      <c r="H207" s="101"/>
      <c r="I207" s="101"/>
      <c r="J207" s="101"/>
      <c r="K207" s="112"/>
      <c r="L207" s="111"/>
      <c r="M207" s="111"/>
      <c r="N207" s="112"/>
      <c r="O207" s="235"/>
      <c r="P207" s="68"/>
      <c r="R207" t="str">
        <f t="shared" si="29"/>
        <v/>
      </c>
      <c r="S207" t="str">
        <f t="shared" si="30"/>
        <v/>
      </c>
      <c r="T207" t="str">
        <f t="shared" si="31"/>
        <v/>
      </c>
      <c r="AD207" t="s">
        <v>1811</v>
      </c>
      <c r="AE207" t="s">
        <v>1812</v>
      </c>
      <c r="AF207" t="str">
        <f t="shared" si="35"/>
        <v>A679072</v>
      </c>
      <c r="AG207" t="str">
        <f>VLOOKUP(AF207,AKT!$C$4:$E$324,3,FALSE)</f>
        <v>0942</v>
      </c>
    </row>
    <row r="208" spans="1:33">
      <c r="A208" s="69"/>
      <c r="B208" s="64" t="str">
        <f t="shared" si="32"/>
        <v/>
      </c>
      <c r="C208" s="69"/>
      <c r="D208" s="64" t="str">
        <f t="shared" si="33"/>
        <v/>
      </c>
      <c r="E208" s="102"/>
      <c r="F208" s="64" t="str">
        <f t="shared" si="28"/>
        <v/>
      </c>
      <c r="G208" s="64" t="str">
        <f t="shared" si="34"/>
        <v/>
      </c>
      <c r="H208" s="101"/>
      <c r="I208" s="101"/>
      <c r="J208" s="101"/>
      <c r="K208" s="112"/>
      <c r="L208" s="111"/>
      <c r="M208" s="111"/>
      <c r="N208" s="112"/>
      <c r="O208" s="235"/>
      <c r="P208" s="68"/>
      <c r="R208" t="str">
        <f t="shared" si="29"/>
        <v/>
      </c>
      <c r="S208" t="str">
        <f t="shared" si="30"/>
        <v/>
      </c>
      <c r="T208" t="str">
        <f t="shared" si="31"/>
        <v/>
      </c>
      <c r="AD208" t="s">
        <v>1813</v>
      </c>
      <c r="AE208" t="s">
        <v>1814</v>
      </c>
      <c r="AF208" t="str">
        <f t="shared" si="35"/>
        <v>A679072</v>
      </c>
      <c r="AG208" t="str">
        <f>VLOOKUP(AF208,AKT!$C$4:$E$324,3,FALSE)</f>
        <v>0942</v>
      </c>
    </row>
    <row r="209" spans="1:33">
      <c r="A209" s="69"/>
      <c r="B209" s="64" t="str">
        <f t="shared" si="32"/>
        <v/>
      </c>
      <c r="C209" s="69"/>
      <c r="D209" s="64" t="str">
        <f t="shared" si="33"/>
        <v/>
      </c>
      <c r="E209" s="102"/>
      <c r="F209" s="64" t="str">
        <f t="shared" si="28"/>
        <v/>
      </c>
      <c r="G209" s="64" t="str">
        <f t="shared" si="34"/>
        <v/>
      </c>
      <c r="H209" s="101"/>
      <c r="I209" s="101"/>
      <c r="J209" s="101"/>
      <c r="K209" s="112"/>
      <c r="L209" s="111"/>
      <c r="M209" s="111"/>
      <c r="N209" s="112"/>
      <c r="O209" s="235"/>
      <c r="P209" s="68"/>
      <c r="R209" t="str">
        <f t="shared" si="29"/>
        <v/>
      </c>
      <c r="S209" t="str">
        <f t="shared" si="30"/>
        <v/>
      </c>
      <c r="T209" t="str">
        <f t="shared" si="31"/>
        <v/>
      </c>
      <c r="AD209" t="s">
        <v>1815</v>
      </c>
      <c r="AE209" t="s">
        <v>1816</v>
      </c>
      <c r="AF209" t="str">
        <f t="shared" si="35"/>
        <v>A679072</v>
      </c>
      <c r="AG209" t="str">
        <f>VLOOKUP(AF209,AKT!$C$4:$E$324,3,FALSE)</f>
        <v>0942</v>
      </c>
    </row>
    <row r="210" spans="1:33">
      <c r="A210" s="69"/>
      <c r="B210" s="64" t="str">
        <f t="shared" si="32"/>
        <v/>
      </c>
      <c r="C210" s="69"/>
      <c r="D210" s="64" t="str">
        <f t="shared" si="33"/>
        <v/>
      </c>
      <c r="E210" s="102"/>
      <c r="F210" s="64" t="str">
        <f t="shared" si="28"/>
        <v/>
      </c>
      <c r="G210" s="64" t="str">
        <f t="shared" si="34"/>
        <v/>
      </c>
      <c r="H210" s="101"/>
      <c r="I210" s="101"/>
      <c r="J210" s="101"/>
      <c r="K210" s="112"/>
      <c r="L210" s="111"/>
      <c r="M210" s="111"/>
      <c r="N210" s="112"/>
      <c r="O210" s="235"/>
      <c r="P210" s="68"/>
      <c r="R210" t="str">
        <f t="shared" si="29"/>
        <v/>
      </c>
      <c r="S210" t="str">
        <f t="shared" si="30"/>
        <v/>
      </c>
      <c r="T210" t="str">
        <f t="shared" si="31"/>
        <v/>
      </c>
      <c r="AD210" t="s">
        <v>1817</v>
      </c>
      <c r="AE210" t="s">
        <v>1818</v>
      </c>
      <c r="AF210" t="str">
        <f t="shared" si="35"/>
        <v>A679072</v>
      </c>
      <c r="AG210" t="str">
        <f>VLOOKUP(AF210,AKT!$C$4:$E$324,3,FALSE)</f>
        <v>0942</v>
      </c>
    </row>
    <row r="211" spans="1:33">
      <c r="A211" s="69"/>
      <c r="B211" s="64" t="str">
        <f t="shared" si="32"/>
        <v/>
      </c>
      <c r="C211" s="69"/>
      <c r="D211" s="64" t="str">
        <f t="shared" si="33"/>
        <v/>
      </c>
      <c r="E211" s="102"/>
      <c r="F211" s="64" t="str">
        <f t="shared" si="28"/>
        <v/>
      </c>
      <c r="G211" s="64" t="str">
        <f t="shared" si="34"/>
        <v/>
      </c>
      <c r="H211" s="101"/>
      <c r="I211" s="101"/>
      <c r="J211" s="101"/>
      <c r="K211" s="112"/>
      <c r="L211" s="111"/>
      <c r="M211" s="111"/>
      <c r="N211" s="112"/>
      <c r="O211" s="235"/>
      <c r="P211" s="68"/>
      <c r="R211" t="str">
        <f t="shared" si="29"/>
        <v/>
      </c>
      <c r="S211" t="str">
        <f t="shared" si="30"/>
        <v/>
      </c>
      <c r="T211" t="str">
        <f t="shared" si="31"/>
        <v/>
      </c>
      <c r="AD211" t="s">
        <v>1819</v>
      </c>
      <c r="AE211" t="s">
        <v>1820</v>
      </c>
      <c r="AF211" t="str">
        <f t="shared" si="35"/>
        <v>A679072</v>
      </c>
      <c r="AG211" t="str">
        <f>VLOOKUP(AF211,AKT!$C$4:$E$324,3,FALSE)</f>
        <v>0942</v>
      </c>
    </row>
    <row r="212" spans="1:33">
      <c r="A212" s="69"/>
      <c r="B212" s="64" t="str">
        <f t="shared" si="32"/>
        <v/>
      </c>
      <c r="C212" s="69"/>
      <c r="D212" s="64" t="str">
        <f t="shared" si="33"/>
        <v/>
      </c>
      <c r="E212" s="102"/>
      <c r="F212" s="64" t="str">
        <f t="shared" si="28"/>
        <v/>
      </c>
      <c r="G212" s="64" t="str">
        <f t="shared" si="34"/>
        <v/>
      </c>
      <c r="H212" s="101"/>
      <c r="I212" s="101"/>
      <c r="J212" s="101"/>
      <c r="K212" s="112"/>
      <c r="L212" s="111"/>
      <c r="M212" s="111"/>
      <c r="N212" s="112"/>
      <c r="O212" s="235"/>
      <c r="P212" s="68"/>
      <c r="R212" t="str">
        <f t="shared" si="29"/>
        <v/>
      </c>
      <c r="S212" t="str">
        <f t="shared" si="30"/>
        <v/>
      </c>
      <c r="T212" t="str">
        <f t="shared" si="31"/>
        <v/>
      </c>
      <c r="AD212" t="s">
        <v>1821</v>
      </c>
      <c r="AE212" t="s">
        <v>1822</v>
      </c>
      <c r="AF212" t="str">
        <f t="shared" si="35"/>
        <v>A679072</v>
      </c>
      <c r="AG212" t="str">
        <f>VLOOKUP(AF212,AKT!$C$4:$E$324,3,FALSE)</f>
        <v>0942</v>
      </c>
    </row>
    <row r="213" spans="1:33">
      <c r="A213" s="69"/>
      <c r="B213" s="64" t="str">
        <f t="shared" si="32"/>
        <v/>
      </c>
      <c r="C213" s="69"/>
      <c r="D213" s="64" t="str">
        <f t="shared" si="33"/>
        <v/>
      </c>
      <c r="E213" s="102"/>
      <c r="F213" s="64" t="str">
        <f t="shared" si="28"/>
        <v/>
      </c>
      <c r="G213" s="64" t="str">
        <f t="shared" si="34"/>
        <v/>
      </c>
      <c r="H213" s="101"/>
      <c r="I213" s="101"/>
      <c r="J213" s="101"/>
      <c r="K213" s="112"/>
      <c r="L213" s="111"/>
      <c r="M213" s="111"/>
      <c r="N213" s="112"/>
      <c r="O213" s="235"/>
      <c r="P213" s="68"/>
      <c r="R213" t="str">
        <f t="shared" si="29"/>
        <v/>
      </c>
      <c r="S213" t="str">
        <f t="shared" si="30"/>
        <v/>
      </c>
      <c r="T213" t="str">
        <f t="shared" si="31"/>
        <v/>
      </c>
      <c r="AD213" t="s">
        <v>1823</v>
      </c>
      <c r="AE213" t="s">
        <v>1824</v>
      </c>
      <c r="AF213" t="str">
        <f t="shared" si="35"/>
        <v>A679073</v>
      </c>
      <c r="AG213" t="str">
        <f>VLOOKUP(AF213,AKT!$C$4:$E$324,3,FALSE)</f>
        <v>0942</v>
      </c>
    </row>
    <row r="214" spans="1:33">
      <c r="A214" s="69"/>
      <c r="B214" s="64" t="str">
        <f t="shared" si="32"/>
        <v/>
      </c>
      <c r="C214" s="69"/>
      <c r="D214" s="64" t="str">
        <f t="shared" si="33"/>
        <v/>
      </c>
      <c r="E214" s="102"/>
      <c r="F214" s="64" t="str">
        <f t="shared" si="28"/>
        <v/>
      </c>
      <c r="G214" s="64" t="str">
        <f t="shared" si="34"/>
        <v/>
      </c>
      <c r="H214" s="101"/>
      <c r="I214" s="101"/>
      <c r="J214" s="101"/>
      <c r="K214" s="112"/>
      <c r="L214" s="111"/>
      <c r="M214" s="111"/>
      <c r="N214" s="112"/>
      <c r="O214" s="235"/>
      <c r="P214" s="68"/>
      <c r="R214" t="str">
        <f t="shared" si="29"/>
        <v/>
      </c>
      <c r="S214" t="str">
        <f t="shared" si="30"/>
        <v/>
      </c>
      <c r="T214" t="str">
        <f t="shared" si="31"/>
        <v/>
      </c>
      <c r="AD214" t="s">
        <v>1825</v>
      </c>
      <c r="AE214" t="s">
        <v>1826</v>
      </c>
      <c r="AF214" t="str">
        <f t="shared" si="35"/>
        <v>A679073</v>
      </c>
      <c r="AG214" t="str">
        <f>VLOOKUP(AF214,AKT!$C$4:$E$324,3,FALSE)</f>
        <v>0942</v>
      </c>
    </row>
    <row r="215" spans="1:33">
      <c r="A215" s="69"/>
      <c r="B215" s="64" t="str">
        <f t="shared" si="32"/>
        <v/>
      </c>
      <c r="C215" s="69"/>
      <c r="D215" s="64" t="str">
        <f t="shared" si="33"/>
        <v/>
      </c>
      <c r="E215" s="102"/>
      <c r="F215" s="64" t="str">
        <f t="shared" si="28"/>
        <v/>
      </c>
      <c r="G215" s="64" t="str">
        <f t="shared" si="34"/>
        <v/>
      </c>
      <c r="H215" s="101"/>
      <c r="I215" s="101"/>
      <c r="J215" s="101"/>
      <c r="K215" s="112"/>
      <c r="L215" s="111"/>
      <c r="M215" s="111"/>
      <c r="N215" s="112"/>
      <c r="O215" s="235"/>
      <c r="P215" s="68"/>
      <c r="R215" t="str">
        <f t="shared" si="29"/>
        <v/>
      </c>
      <c r="S215" t="str">
        <f t="shared" si="30"/>
        <v/>
      </c>
      <c r="T215" t="str">
        <f t="shared" si="31"/>
        <v/>
      </c>
      <c r="AD215" t="s">
        <v>1827</v>
      </c>
      <c r="AE215" t="s">
        <v>1828</v>
      </c>
      <c r="AF215" t="str">
        <f t="shared" si="35"/>
        <v>A679073</v>
      </c>
      <c r="AG215" t="str">
        <f>VLOOKUP(AF215,AKT!$C$4:$E$324,3,FALSE)</f>
        <v>0942</v>
      </c>
    </row>
    <row r="216" spans="1:33">
      <c r="A216" s="69"/>
      <c r="B216" s="64" t="str">
        <f t="shared" si="32"/>
        <v/>
      </c>
      <c r="C216" s="69"/>
      <c r="D216" s="64" t="str">
        <f t="shared" si="33"/>
        <v/>
      </c>
      <c r="E216" s="102"/>
      <c r="F216" s="64" t="str">
        <f t="shared" si="28"/>
        <v/>
      </c>
      <c r="G216" s="64" t="str">
        <f t="shared" si="34"/>
        <v/>
      </c>
      <c r="H216" s="101"/>
      <c r="I216" s="101"/>
      <c r="J216" s="101"/>
      <c r="K216" s="112"/>
      <c r="L216" s="111"/>
      <c r="M216" s="111"/>
      <c r="N216" s="112"/>
      <c r="O216" s="235"/>
      <c r="P216" s="68"/>
      <c r="R216" t="str">
        <f t="shared" si="29"/>
        <v/>
      </c>
      <c r="S216" t="str">
        <f t="shared" si="30"/>
        <v/>
      </c>
      <c r="T216" t="str">
        <f t="shared" si="31"/>
        <v/>
      </c>
      <c r="AD216" t="s">
        <v>1829</v>
      </c>
      <c r="AE216" t="s">
        <v>1830</v>
      </c>
      <c r="AF216" t="str">
        <f t="shared" si="35"/>
        <v>A679073</v>
      </c>
      <c r="AG216" t="str">
        <f>VLOOKUP(AF216,AKT!$C$4:$E$324,3,FALSE)</f>
        <v>0942</v>
      </c>
    </row>
    <row r="217" spans="1:33">
      <c r="A217" s="69"/>
      <c r="B217" s="64" t="str">
        <f t="shared" si="32"/>
        <v/>
      </c>
      <c r="C217" s="69"/>
      <c r="D217" s="64" t="str">
        <f t="shared" si="33"/>
        <v/>
      </c>
      <c r="E217" s="102"/>
      <c r="F217" s="64" t="str">
        <f t="shared" si="28"/>
        <v/>
      </c>
      <c r="G217" s="64" t="str">
        <f t="shared" si="34"/>
        <v/>
      </c>
      <c r="H217" s="101"/>
      <c r="I217" s="101"/>
      <c r="J217" s="101"/>
      <c r="K217" s="112"/>
      <c r="L217" s="111"/>
      <c r="M217" s="111"/>
      <c r="N217" s="112"/>
      <c r="O217" s="235"/>
      <c r="P217" s="68"/>
      <c r="R217" t="str">
        <f t="shared" si="29"/>
        <v/>
      </c>
      <c r="S217" t="str">
        <f t="shared" si="30"/>
        <v/>
      </c>
      <c r="T217" t="str">
        <f t="shared" si="31"/>
        <v/>
      </c>
      <c r="AD217" t="s">
        <v>1831</v>
      </c>
      <c r="AE217" t="s">
        <v>1832</v>
      </c>
      <c r="AF217" t="str">
        <f t="shared" si="35"/>
        <v>A679073</v>
      </c>
      <c r="AG217" t="str">
        <f>VLOOKUP(AF217,AKT!$C$4:$E$324,3,FALSE)</f>
        <v>0942</v>
      </c>
    </row>
    <row r="218" spans="1:33">
      <c r="A218" s="69"/>
      <c r="B218" s="64" t="str">
        <f t="shared" si="32"/>
        <v/>
      </c>
      <c r="C218" s="69"/>
      <c r="D218" s="64" t="str">
        <f t="shared" si="33"/>
        <v/>
      </c>
      <c r="E218" s="102"/>
      <c r="F218" s="64" t="str">
        <f t="shared" si="28"/>
        <v/>
      </c>
      <c r="G218" s="64" t="str">
        <f t="shared" si="34"/>
        <v/>
      </c>
      <c r="H218" s="101"/>
      <c r="I218" s="101"/>
      <c r="J218" s="101"/>
      <c r="K218" s="112"/>
      <c r="L218" s="111"/>
      <c r="M218" s="111"/>
      <c r="N218" s="112"/>
      <c r="O218" s="235"/>
      <c r="P218" s="68"/>
      <c r="R218" t="str">
        <f t="shared" si="29"/>
        <v/>
      </c>
      <c r="S218" t="str">
        <f t="shared" si="30"/>
        <v/>
      </c>
      <c r="T218" t="str">
        <f t="shared" si="31"/>
        <v/>
      </c>
      <c r="AD218" t="s">
        <v>1833</v>
      </c>
      <c r="AE218" t="s">
        <v>1834</v>
      </c>
      <c r="AF218" t="str">
        <f t="shared" si="35"/>
        <v>A679073</v>
      </c>
      <c r="AG218" t="str">
        <f>VLOOKUP(AF218,AKT!$C$4:$E$324,3,FALSE)</f>
        <v>0942</v>
      </c>
    </row>
    <row r="219" spans="1:33">
      <c r="A219" s="69"/>
      <c r="B219" s="64" t="str">
        <f t="shared" si="32"/>
        <v/>
      </c>
      <c r="C219" s="69"/>
      <c r="D219" s="64" t="str">
        <f t="shared" si="33"/>
        <v/>
      </c>
      <c r="E219" s="102"/>
      <c r="F219" s="64" t="str">
        <f t="shared" si="28"/>
        <v/>
      </c>
      <c r="G219" s="64" t="str">
        <f t="shared" si="34"/>
        <v/>
      </c>
      <c r="H219" s="101"/>
      <c r="I219" s="101"/>
      <c r="J219" s="101"/>
      <c r="K219" s="112"/>
      <c r="L219" s="111"/>
      <c r="M219" s="111"/>
      <c r="N219" s="112"/>
      <c r="O219" s="235"/>
      <c r="P219" s="68"/>
      <c r="R219" t="str">
        <f t="shared" si="29"/>
        <v/>
      </c>
      <c r="S219" t="str">
        <f t="shared" si="30"/>
        <v/>
      </c>
      <c r="T219" t="str">
        <f t="shared" si="31"/>
        <v/>
      </c>
      <c r="AD219" t="s">
        <v>1835</v>
      </c>
      <c r="AE219" t="s">
        <v>1836</v>
      </c>
      <c r="AF219" t="str">
        <f t="shared" si="35"/>
        <v>A679073</v>
      </c>
      <c r="AG219" t="str">
        <f>VLOOKUP(AF219,AKT!$C$4:$E$324,3,FALSE)</f>
        <v>0942</v>
      </c>
    </row>
    <row r="220" spans="1:33">
      <c r="A220" s="69"/>
      <c r="B220" s="64" t="str">
        <f t="shared" si="32"/>
        <v/>
      </c>
      <c r="C220" s="69"/>
      <c r="D220" s="64" t="str">
        <f t="shared" si="33"/>
        <v/>
      </c>
      <c r="E220" s="102"/>
      <c r="F220" s="64" t="str">
        <f t="shared" si="28"/>
        <v/>
      </c>
      <c r="G220" s="64" t="str">
        <f t="shared" si="34"/>
        <v/>
      </c>
      <c r="H220" s="101"/>
      <c r="I220" s="101"/>
      <c r="J220" s="101"/>
      <c r="K220" s="112"/>
      <c r="L220" s="111"/>
      <c r="M220" s="111"/>
      <c r="N220" s="112"/>
      <c r="O220" s="235"/>
      <c r="P220" s="68"/>
      <c r="R220" t="str">
        <f t="shared" si="29"/>
        <v/>
      </c>
      <c r="S220" t="str">
        <f t="shared" si="30"/>
        <v/>
      </c>
      <c r="T220" t="str">
        <f t="shared" si="31"/>
        <v/>
      </c>
      <c r="AD220" t="s">
        <v>1837</v>
      </c>
      <c r="AE220" t="s">
        <v>1838</v>
      </c>
      <c r="AF220" t="str">
        <f t="shared" si="35"/>
        <v>A679073</v>
      </c>
      <c r="AG220" t="str">
        <f>VLOOKUP(AF220,AKT!$C$4:$E$324,3,FALSE)</f>
        <v>0942</v>
      </c>
    </row>
    <row r="221" spans="1:33">
      <c r="A221" s="69"/>
      <c r="B221" s="64" t="str">
        <f t="shared" si="32"/>
        <v/>
      </c>
      <c r="C221" s="69"/>
      <c r="D221" s="64" t="str">
        <f t="shared" si="33"/>
        <v/>
      </c>
      <c r="E221" s="102"/>
      <c r="F221" s="64" t="str">
        <f t="shared" si="28"/>
        <v/>
      </c>
      <c r="G221" s="64" t="str">
        <f t="shared" si="34"/>
        <v/>
      </c>
      <c r="H221" s="101"/>
      <c r="I221" s="101"/>
      <c r="J221" s="101"/>
      <c r="K221" s="112"/>
      <c r="L221" s="111"/>
      <c r="M221" s="111"/>
      <c r="N221" s="112"/>
      <c r="O221" s="235"/>
      <c r="P221" s="68"/>
      <c r="R221" t="str">
        <f t="shared" si="29"/>
        <v/>
      </c>
      <c r="S221" t="str">
        <f t="shared" si="30"/>
        <v/>
      </c>
      <c r="T221" t="str">
        <f t="shared" si="31"/>
        <v/>
      </c>
      <c r="AD221" t="s">
        <v>1839</v>
      </c>
      <c r="AE221" t="s">
        <v>1840</v>
      </c>
      <c r="AF221" t="str">
        <f t="shared" si="35"/>
        <v>A679073</v>
      </c>
      <c r="AG221" t="str">
        <f>VLOOKUP(AF221,AKT!$C$4:$E$324,3,FALSE)</f>
        <v>0942</v>
      </c>
    </row>
    <row r="222" spans="1:33">
      <c r="A222" s="69"/>
      <c r="B222" s="64" t="str">
        <f t="shared" si="32"/>
        <v/>
      </c>
      <c r="C222" s="69"/>
      <c r="D222" s="64" t="str">
        <f t="shared" si="33"/>
        <v/>
      </c>
      <c r="E222" s="102"/>
      <c r="F222" s="64" t="str">
        <f t="shared" si="28"/>
        <v/>
      </c>
      <c r="G222" s="64" t="str">
        <f t="shared" si="34"/>
        <v/>
      </c>
      <c r="H222" s="101"/>
      <c r="I222" s="101"/>
      <c r="J222" s="101"/>
      <c r="K222" s="112"/>
      <c r="L222" s="111"/>
      <c r="M222" s="111"/>
      <c r="N222" s="112"/>
      <c r="O222" s="235"/>
      <c r="P222" s="68"/>
      <c r="R222" t="str">
        <f t="shared" si="29"/>
        <v/>
      </c>
      <c r="S222" t="str">
        <f t="shared" si="30"/>
        <v/>
      </c>
      <c r="T222" t="str">
        <f t="shared" si="31"/>
        <v/>
      </c>
      <c r="AD222" t="s">
        <v>1841</v>
      </c>
      <c r="AE222" t="s">
        <v>1842</v>
      </c>
      <c r="AF222" t="str">
        <f t="shared" si="35"/>
        <v>A679073</v>
      </c>
      <c r="AG222" t="str">
        <f>VLOOKUP(AF222,AKT!$C$4:$E$324,3,FALSE)</f>
        <v>0942</v>
      </c>
    </row>
    <row r="223" spans="1:33">
      <c r="A223" s="69"/>
      <c r="B223" s="64" t="str">
        <f t="shared" si="32"/>
        <v/>
      </c>
      <c r="C223" s="69"/>
      <c r="D223" s="64" t="str">
        <f t="shared" si="33"/>
        <v/>
      </c>
      <c r="E223" s="102"/>
      <c r="F223" s="64" t="str">
        <f t="shared" si="28"/>
        <v/>
      </c>
      <c r="G223" s="64" t="str">
        <f t="shared" si="34"/>
        <v/>
      </c>
      <c r="H223" s="101"/>
      <c r="I223" s="101"/>
      <c r="J223" s="101"/>
      <c r="K223" s="112"/>
      <c r="L223" s="111"/>
      <c r="M223" s="111"/>
      <c r="N223" s="112"/>
      <c r="O223" s="235"/>
      <c r="P223" s="68"/>
      <c r="R223" t="str">
        <f t="shared" si="29"/>
        <v/>
      </c>
      <c r="S223" t="str">
        <f t="shared" si="30"/>
        <v/>
      </c>
      <c r="T223" t="str">
        <f t="shared" si="31"/>
        <v/>
      </c>
      <c r="AD223" t="s">
        <v>1843</v>
      </c>
      <c r="AE223" t="s">
        <v>1844</v>
      </c>
      <c r="AF223" t="str">
        <f t="shared" si="35"/>
        <v>A679073</v>
      </c>
      <c r="AG223" t="str">
        <f>VLOOKUP(AF223,AKT!$C$4:$E$324,3,FALSE)</f>
        <v>0942</v>
      </c>
    </row>
    <row r="224" spans="1:33">
      <c r="A224" s="69"/>
      <c r="B224" s="64" t="str">
        <f t="shared" si="32"/>
        <v/>
      </c>
      <c r="C224" s="69"/>
      <c r="D224" s="64" t="str">
        <f t="shared" si="33"/>
        <v/>
      </c>
      <c r="E224" s="102"/>
      <c r="F224" s="64" t="str">
        <f t="shared" si="28"/>
        <v/>
      </c>
      <c r="G224" s="64" t="str">
        <f t="shared" si="34"/>
        <v/>
      </c>
      <c r="H224" s="101"/>
      <c r="I224" s="101"/>
      <c r="J224" s="101"/>
      <c r="K224" s="112"/>
      <c r="L224" s="111"/>
      <c r="M224" s="111"/>
      <c r="N224" s="112"/>
      <c r="O224" s="235"/>
      <c r="P224" s="68"/>
      <c r="R224" t="str">
        <f t="shared" si="29"/>
        <v/>
      </c>
      <c r="S224" t="str">
        <f t="shared" si="30"/>
        <v/>
      </c>
      <c r="T224" t="str">
        <f t="shared" si="31"/>
        <v/>
      </c>
      <c r="AD224" t="s">
        <v>1845</v>
      </c>
      <c r="AE224" t="s">
        <v>1846</v>
      </c>
      <c r="AF224" t="str">
        <f t="shared" si="35"/>
        <v>A679073</v>
      </c>
      <c r="AG224" t="str">
        <f>VLOOKUP(AF224,AKT!$C$4:$E$324,3,FALSE)</f>
        <v>0942</v>
      </c>
    </row>
    <row r="225" spans="1:33">
      <c r="A225" s="69"/>
      <c r="B225" s="64" t="str">
        <f t="shared" si="32"/>
        <v/>
      </c>
      <c r="C225" s="69"/>
      <c r="D225" s="64" t="str">
        <f t="shared" si="33"/>
        <v/>
      </c>
      <c r="E225" s="102"/>
      <c r="F225" s="64" t="str">
        <f t="shared" si="28"/>
        <v/>
      </c>
      <c r="G225" s="64" t="str">
        <f t="shared" si="34"/>
        <v/>
      </c>
      <c r="H225" s="101"/>
      <c r="I225" s="101"/>
      <c r="J225" s="101"/>
      <c r="K225" s="112"/>
      <c r="L225" s="111"/>
      <c r="M225" s="111"/>
      <c r="N225" s="112"/>
      <c r="O225" s="235"/>
      <c r="P225" s="68"/>
      <c r="R225" t="str">
        <f t="shared" si="29"/>
        <v/>
      </c>
      <c r="S225" t="str">
        <f t="shared" si="30"/>
        <v/>
      </c>
      <c r="T225" t="str">
        <f t="shared" si="31"/>
        <v/>
      </c>
      <c r="AD225" t="s">
        <v>1847</v>
      </c>
      <c r="AE225" t="s">
        <v>1848</v>
      </c>
      <c r="AF225" t="str">
        <f t="shared" si="35"/>
        <v>A679073</v>
      </c>
      <c r="AG225" t="str">
        <f>VLOOKUP(AF225,AKT!$C$4:$E$324,3,FALSE)</f>
        <v>0942</v>
      </c>
    </row>
    <row r="226" spans="1:33">
      <c r="A226" s="69"/>
      <c r="B226" s="64" t="str">
        <f t="shared" si="32"/>
        <v/>
      </c>
      <c r="C226" s="69"/>
      <c r="D226" s="64" t="str">
        <f t="shared" si="33"/>
        <v/>
      </c>
      <c r="E226" s="102"/>
      <c r="F226" s="64" t="str">
        <f t="shared" si="28"/>
        <v/>
      </c>
      <c r="G226" s="64" t="str">
        <f t="shared" si="34"/>
        <v/>
      </c>
      <c r="H226" s="101"/>
      <c r="I226" s="101"/>
      <c r="J226" s="101"/>
      <c r="K226" s="112"/>
      <c r="L226" s="111"/>
      <c r="M226" s="111"/>
      <c r="N226" s="112"/>
      <c r="O226" s="235"/>
      <c r="P226" s="68"/>
      <c r="R226" t="str">
        <f t="shared" si="29"/>
        <v/>
      </c>
      <c r="S226" t="str">
        <f t="shared" si="30"/>
        <v/>
      </c>
      <c r="T226" t="str">
        <f t="shared" si="31"/>
        <v/>
      </c>
      <c r="AD226" t="s">
        <v>1849</v>
      </c>
      <c r="AE226" t="s">
        <v>1850</v>
      </c>
      <c r="AF226" t="str">
        <f t="shared" si="35"/>
        <v>A679073</v>
      </c>
      <c r="AG226" t="str">
        <f>VLOOKUP(AF226,AKT!$C$4:$E$324,3,FALSE)</f>
        <v>0942</v>
      </c>
    </row>
    <row r="227" spans="1:33">
      <c r="A227" s="69"/>
      <c r="B227" s="64" t="str">
        <f t="shared" si="32"/>
        <v/>
      </c>
      <c r="C227" s="69"/>
      <c r="D227" s="64" t="str">
        <f t="shared" si="33"/>
        <v/>
      </c>
      <c r="E227" s="102"/>
      <c r="F227" s="64" t="str">
        <f t="shared" si="28"/>
        <v/>
      </c>
      <c r="G227" s="64" t="str">
        <f t="shared" si="34"/>
        <v/>
      </c>
      <c r="H227" s="101"/>
      <c r="I227" s="101"/>
      <c r="J227" s="101"/>
      <c r="K227" s="112"/>
      <c r="L227" s="111"/>
      <c r="M227" s="111"/>
      <c r="N227" s="112"/>
      <c r="O227" s="235"/>
      <c r="P227" s="68"/>
      <c r="R227" t="str">
        <f t="shared" si="29"/>
        <v/>
      </c>
      <c r="S227" t="str">
        <f t="shared" si="30"/>
        <v/>
      </c>
      <c r="T227" t="str">
        <f t="shared" si="31"/>
        <v/>
      </c>
      <c r="AD227" t="s">
        <v>1851</v>
      </c>
      <c r="AE227" t="s">
        <v>1852</v>
      </c>
      <c r="AF227" t="str">
        <f t="shared" si="35"/>
        <v>A679073</v>
      </c>
      <c r="AG227" t="str">
        <f>VLOOKUP(AF227,AKT!$C$4:$E$324,3,FALSE)</f>
        <v>0942</v>
      </c>
    </row>
    <row r="228" spans="1:33">
      <c r="A228" s="69"/>
      <c r="B228" s="64" t="str">
        <f t="shared" si="32"/>
        <v/>
      </c>
      <c r="C228" s="69"/>
      <c r="D228" s="64" t="str">
        <f t="shared" si="33"/>
        <v/>
      </c>
      <c r="E228" s="102"/>
      <c r="F228" s="64" t="str">
        <f t="shared" si="28"/>
        <v/>
      </c>
      <c r="G228" s="64" t="str">
        <f t="shared" si="34"/>
        <v/>
      </c>
      <c r="H228" s="101"/>
      <c r="I228" s="101"/>
      <c r="J228" s="101"/>
      <c r="K228" s="112"/>
      <c r="L228" s="111"/>
      <c r="M228" s="111"/>
      <c r="N228" s="112"/>
      <c r="O228" s="235"/>
      <c r="P228" s="68"/>
      <c r="R228" t="str">
        <f t="shared" si="29"/>
        <v/>
      </c>
      <c r="S228" t="str">
        <f t="shared" si="30"/>
        <v/>
      </c>
      <c r="T228" t="str">
        <f t="shared" si="31"/>
        <v/>
      </c>
      <c r="AD228" t="s">
        <v>1853</v>
      </c>
      <c r="AE228" t="s">
        <v>1854</v>
      </c>
      <c r="AF228" t="str">
        <f t="shared" si="35"/>
        <v>A679073</v>
      </c>
      <c r="AG228" t="str">
        <f>VLOOKUP(AF228,AKT!$C$4:$E$324,3,FALSE)</f>
        <v>0942</v>
      </c>
    </row>
    <row r="229" spans="1:33">
      <c r="A229" s="69"/>
      <c r="B229" s="64" t="str">
        <f t="shared" si="32"/>
        <v/>
      </c>
      <c r="C229" s="69"/>
      <c r="D229" s="64" t="str">
        <f t="shared" si="33"/>
        <v/>
      </c>
      <c r="E229" s="102"/>
      <c r="F229" s="64" t="str">
        <f t="shared" si="28"/>
        <v/>
      </c>
      <c r="G229" s="64" t="str">
        <f t="shared" si="34"/>
        <v/>
      </c>
      <c r="H229" s="101"/>
      <c r="I229" s="101"/>
      <c r="J229" s="101"/>
      <c r="K229" s="112"/>
      <c r="L229" s="111"/>
      <c r="M229" s="111"/>
      <c r="N229" s="112"/>
      <c r="O229" s="235"/>
      <c r="P229" s="68"/>
      <c r="R229" t="str">
        <f t="shared" si="29"/>
        <v/>
      </c>
      <c r="S229" t="str">
        <f t="shared" si="30"/>
        <v/>
      </c>
      <c r="T229" t="str">
        <f t="shared" si="31"/>
        <v/>
      </c>
      <c r="AD229" t="s">
        <v>1855</v>
      </c>
      <c r="AE229" t="s">
        <v>1856</v>
      </c>
      <c r="AF229" t="str">
        <f t="shared" si="35"/>
        <v>A679073</v>
      </c>
      <c r="AG229" t="str">
        <f>VLOOKUP(AF229,AKT!$C$4:$E$324,3,FALSE)</f>
        <v>0942</v>
      </c>
    </row>
    <row r="230" spans="1:33">
      <c r="A230" s="69"/>
      <c r="B230" s="64" t="str">
        <f t="shared" si="32"/>
        <v/>
      </c>
      <c r="C230" s="69"/>
      <c r="D230" s="64" t="str">
        <f t="shared" si="33"/>
        <v/>
      </c>
      <c r="E230" s="102"/>
      <c r="F230" s="64" t="str">
        <f t="shared" si="28"/>
        <v/>
      </c>
      <c r="G230" s="64" t="str">
        <f t="shared" si="34"/>
        <v/>
      </c>
      <c r="H230" s="101"/>
      <c r="I230" s="101"/>
      <c r="J230" s="101"/>
      <c r="K230" s="112"/>
      <c r="L230" s="111"/>
      <c r="M230" s="111"/>
      <c r="N230" s="112"/>
      <c r="O230" s="235"/>
      <c r="P230" s="68"/>
      <c r="R230" t="str">
        <f t="shared" si="29"/>
        <v/>
      </c>
      <c r="S230" t="str">
        <f t="shared" si="30"/>
        <v/>
      </c>
      <c r="T230" t="str">
        <f t="shared" si="31"/>
        <v/>
      </c>
      <c r="AD230" t="s">
        <v>1857</v>
      </c>
      <c r="AE230" t="s">
        <v>1858</v>
      </c>
      <c r="AF230" t="str">
        <f t="shared" si="35"/>
        <v>A679073</v>
      </c>
      <c r="AG230" t="str">
        <f>VLOOKUP(AF230,AKT!$C$4:$E$324,3,FALSE)</f>
        <v>0942</v>
      </c>
    </row>
    <row r="231" spans="1:33">
      <c r="A231" s="69"/>
      <c r="B231" s="64" t="str">
        <f t="shared" si="32"/>
        <v/>
      </c>
      <c r="C231" s="69"/>
      <c r="D231" s="64" t="str">
        <f t="shared" si="33"/>
        <v/>
      </c>
      <c r="E231" s="102"/>
      <c r="F231" s="64" t="str">
        <f t="shared" si="28"/>
        <v/>
      </c>
      <c r="G231" s="64" t="str">
        <f t="shared" si="34"/>
        <v/>
      </c>
      <c r="H231" s="101"/>
      <c r="I231" s="101"/>
      <c r="J231" s="101"/>
      <c r="K231" s="112"/>
      <c r="L231" s="111"/>
      <c r="M231" s="111"/>
      <c r="N231" s="112"/>
      <c r="O231" s="235"/>
      <c r="P231" s="68"/>
      <c r="R231" t="str">
        <f t="shared" si="29"/>
        <v/>
      </c>
      <c r="S231" t="str">
        <f t="shared" si="30"/>
        <v/>
      </c>
      <c r="T231" t="str">
        <f t="shared" si="31"/>
        <v/>
      </c>
      <c r="AD231" t="s">
        <v>1859</v>
      </c>
      <c r="AE231" t="s">
        <v>1860</v>
      </c>
      <c r="AF231" t="str">
        <f t="shared" si="35"/>
        <v>A679074</v>
      </c>
      <c r="AG231" t="str">
        <f>VLOOKUP(AF231,AKT!$C$4:$E$324,3,FALSE)</f>
        <v>0942</v>
      </c>
    </row>
    <row r="232" spans="1:33">
      <c r="A232" s="69"/>
      <c r="B232" s="64" t="str">
        <f t="shared" si="32"/>
        <v/>
      </c>
      <c r="C232" s="69"/>
      <c r="D232" s="64" t="str">
        <f t="shared" si="33"/>
        <v/>
      </c>
      <c r="E232" s="102"/>
      <c r="F232" s="64" t="str">
        <f t="shared" si="28"/>
        <v/>
      </c>
      <c r="G232" s="64" t="str">
        <f t="shared" si="34"/>
        <v/>
      </c>
      <c r="H232" s="101"/>
      <c r="I232" s="101"/>
      <c r="J232" s="101"/>
      <c r="K232" s="112"/>
      <c r="L232" s="111"/>
      <c r="M232" s="111"/>
      <c r="N232" s="112"/>
      <c r="O232" s="235"/>
      <c r="P232" s="68"/>
      <c r="R232" t="str">
        <f t="shared" si="29"/>
        <v/>
      </c>
      <c r="S232" t="str">
        <f t="shared" si="30"/>
        <v/>
      </c>
      <c r="T232" t="str">
        <f t="shared" si="31"/>
        <v/>
      </c>
      <c r="AD232" t="s">
        <v>1861</v>
      </c>
      <c r="AE232" t="s">
        <v>1862</v>
      </c>
      <c r="AF232" t="str">
        <f t="shared" si="35"/>
        <v>A679074</v>
      </c>
      <c r="AG232" t="str">
        <f>VLOOKUP(AF232,AKT!$C$4:$E$324,3,FALSE)</f>
        <v>0942</v>
      </c>
    </row>
    <row r="233" spans="1:33">
      <c r="A233" s="69"/>
      <c r="B233" s="64" t="str">
        <f t="shared" si="32"/>
        <v/>
      </c>
      <c r="C233" s="69"/>
      <c r="D233" s="64" t="str">
        <f t="shared" si="33"/>
        <v/>
      </c>
      <c r="E233" s="102"/>
      <c r="F233" s="64" t="str">
        <f t="shared" si="28"/>
        <v/>
      </c>
      <c r="G233" s="64" t="str">
        <f t="shared" si="34"/>
        <v/>
      </c>
      <c r="H233" s="101"/>
      <c r="I233" s="101"/>
      <c r="J233" s="101"/>
      <c r="K233" s="112"/>
      <c r="L233" s="111"/>
      <c r="M233" s="111"/>
      <c r="N233" s="112"/>
      <c r="O233" s="235"/>
      <c r="P233" s="68"/>
      <c r="R233" t="str">
        <f t="shared" si="29"/>
        <v/>
      </c>
      <c r="S233" t="str">
        <f t="shared" si="30"/>
        <v/>
      </c>
      <c r="T233" t="str">
        <f t="shared" si="31"/>
        <v/>
      </c>
      <c r="AD233" t="s">
        <v>1863</v>
      </c>
      <c r="AE233" t="s">
        <v>1864</v>
      </c>
      <c r="AF233" t="str">
        <f t="shared" si="35"/>
        <v>A679074</v>
      </c>
      <c r="AG233" t="str">
        <f>VLOOKUP(AF233,AKT!$C$4:$E$324,3,FALSE)</f>
        <v>0942</v>
      </c>
    </row>
    <row r="234" spans="1:33">
      <c r="A234" s="69"/>
      <c r="B234" s="64" t="str">
        <f t="shared" si="32"/>
        <v/>
      </c>
      <c r="C234" s="69"/>
      <c r="D234" s="64" t="str">
        <f t="shared" si="33"/>
        <v/>
      </c>
      <c r="E234" s="102"/>
      <c r="F234" s="64" t="str">
        <f t="shared" ref="F234:F297" si="36">IFERROR(VLOOKUP(E234,$AD$6:$AE$1085,2,FALSE),"")</f>
        <v/>
      </c>
      <c r="G234" s="64" t="str">
        <f t="shared" si="34"/>
        <v/>
      </c>
      <c r="H234" s="101"/>
      <c r="I234" s="101"/>
      <c r="J234" s="101"/>
      <c r="K234" s="112"/>
      <c r="L234" s="111"/>
      <c r="M234" s="111"/>
      <c r="N234" s="112"/>
      <c r="O234" s="235"/>
      <c r="P234" s="68"/>
      <c r="R234" t="str">
        <f t="shared" si="29"/>
        <v/>
      </c>
      <c r="S234" t="str">
        <f t="shared" si="30"/>
        <v/>
      </c>
      <c r="T234" t="str">
        <f t="shared" si="31"/>
        <v/>
      </c>
      <c r="AD234" t="s">
        <v>1865</v>
      </c>
      <c r="AE234" t="s">
        <v>1866</v>
      </c>
      <c r="AF234" t="str">
        <f t="shared" si="35"/>
        <v>A679074</v>
      </c>
      <c r="AG234" t="str">
        <f>VLOOKUP(AF234,AKT!$C$4:$E$324,3,FALSE)</f>
        <v>0942</v>
      </c>
    </row>
    <row r="235" spans="1:33">
      <c r="A235" s="69"/>
      <c r="B235" s="64" t="str">
        <f t="shared" si="32"/>
        <v/>
      </c>
      <c r="C235" s="69"/>
      <c r="D235" s="64" t="str">
        <f t="shared" si="33"/>
        <v/>
      </c>
      <c r="E235" s="102"/>
      <c r="F235" s="64" t="str">
        <f t="shared" si="36"/>
        <v/>
      </c>
      <c r="G235" s="64" t="str">
        <f t="shared" si="34"/>
        <v/>
      </c>
      <c r="H235" s="101"/>
      <c r="I235" s="101"/>
      <c r="J235" s="101"/>
      <c r="K235" s="112"/>
      <c r="L235" s="111"/>
      <c r="M235" s="111"/>
      <c r="N235" s="112"/>
      <c r="O235" s="235"/>
      <c r="P235" s="68"/>
      <c r="R235" t="str">
        <f t="shared" si="29"/>
        <v/>
      </c>
      <c r="S235" t="str">
        <f t="shared" si="30"/>
        <v/>
      </c>
      <c r="T235" t="str">
        <f t="shared" si="31"/>
        <v/>
      </c>
      <c r="AD235" t="s">
        <v>1867</v>
      </c>
      <c r="AE235" t="s">
        <v>1868</v>
      </c>
      <c r="AF235" t="str">
        <f t="shared" si="35"/>
        <v>A679074</v>
      </c>
      <c r="AG235" t="str">
        <f>VLOOKUP(AF235,AKT!$C$4:$E$324,3,FALSE)</f>
        <v>0942</v>
      </c>
    </row>
    <row r="236" spans="1:33">
      <c r="A236" s="69"/>
      <c r="B236" s="64" t="str">
        <f t="shared" si="32"/>
        <v/>
      </c>
      <c r="C236" s="69"/>
      <c r="D236" s="64" t="str">
        <f t="shared" si="33"/>
        <v/>
      </c>
      <c r="E236" s="102"/>
      <c r="F236" s="64" t="str">
        <f t="shared" si="36"/>
        <v/>
      </c>
      <c r="G236" s="64" t="str">
        <f t="shared" si="34"/>
        <v/>
      </c>
      <c r="H236" s="101"/>
      <c r="I236" s="101"/>
      <c r="J236" s="101"/>
      <c r="K236" s="112"/>
      <c r="L236" s="111"/>
      <c r="M236" s="111"/>
      <c r="N236" s="112"/>
      <c r="O236" s="235"/>
      <c r="P236" s="68"/>
      <c r="R236" t="str">
        <f t="shared" si="29"/>
        <v/>
      </c>
      <c r="S236" t="str">
        <f t="shared" si="30"/>
        <v/>
      </c>
      <c r="T236" t="str">
        <f t="shared" si="31"/>
        <v/>
      </c>
      <c r="AD236" t="s">
        <v>1869</v>
      </c>
      <c r="AE236" t="s">
        <v>1870</v>
      </c>
      <c r="AF236" t="str">
        <f t="shared" si="35"/>
        <v>A679074</v>
      </c>
      <c r="AG236" t="str">
        <f>VLOOKUP(AF236,AKT!$C$4:$E$324,3,FALSE)</f>
        <v>0942</v>
      </c>
    </row>
    <row r="237" spans="1:33">
      <c r="A237" s="69"/>
      <c r="B237" s="64" t="str">
        <f t="shared" si="32"/>
        <v/>
      </c>
      <c r="C237" s="69"/>
      <c r="D237" s="64" t="str">
        <f t="shared" si="33"/>
        <v/>
      </c>
      <c r="E237" s="102"/>
      <c r="F237" s="64" t="str">
        <f t="shared" si="36"/>
        <v/>
      </c>
      <c r="G237" s="64" t="str">
        <f t="shared" si="34"/>
        <v/>
      </c>
      <c r="H237" s="101"/>
      <c r="I237" s="101"/>
      <c r="J237" s="101"/>
      <c r="K237" s="112"/>
      <c r="L237" s="111"/>
      <c r="M237" s="111"/>
      <c r="N237" s="112"/>
      <c r="O237" s="235"/>
      <c r="P237" s="68"/>
      <c r="R237" t="str">
        <f t="shared" si="29"/>
        <v/>
      </c>
      <c r="S237" t="str">
        <f t="shared" si="30"/>
        <v/>
      </c>
      <c r="T237" t="str">
        <f t="shared" si="31"/>
        <v/>
      </c>
      <c r="AD237" t="s">
        <v>1871</v>
      </c>
      <c r="AE237" t="s">
        <v>1872</v>
      </c>
      <c r="AF237" t="str">
        <f t="shared" si="35"/>
        <v>A679074</v>
      </c>
      <c r="AG237" t="str">
        <f>VLOOKUP(AF237,AKT!$C$4:$E$324,3,FALSE)</f>
        <v>0942</v>
      </c>
    </row>
    <row r="238" spans="1:33">
      <c r="A238" s="69"/>
      <c r="B238" s="64" t="str">
        <f t="shared" si="32"/>
        <v/>
      </c>
      <c r="C238" s="69"/>
      <c r="D238" s="64" t="str">
        <f t="shared" si="33"/>
        <v/>
      </c>
      <c r="E238" s="102"/>
      <c r="F238" s="64" t="str">
        <f t="shared" si="36"/>
        <v/>
      </c>
      <c r="G238" s="64" t="str">
        <f t="shared" si="34"/>
        <v/>
      </c>
      <c r="H238" s="101"/>
      <c r="I238" s="101"/>
      <c r="J238" s="101"/>
      <c r="K238" s="112"/>
      <c r="L238" s="111"/>
      <c r="M238" s="111"/>
      <c r="N238" s="112"/>
      <c r="O238" s="235"/>
      <c r="P238" s="68"/>
      <c r="R238" t="str">
        <f t="shared" si="29"/>
        <v/>
      </c>
      <c r="S238" t="str">
        <f t="shared" si="30"/>
        <v/>
      </c>
      <c r="T238" t="str">
        <f t="shared" si="31"/>
        <v/>
      </c>
      <c r="AD238" t="s">
        <v>1873</v>
      </c>
      <c r="AE238" t="s">
        <v>1874</v>
      </c>
      <c r="AF238" t="str">
        <f t="shared" si="35"/>
        <v>A679074</v>
      </c>
      <c r="AG238" t="str">
        <f>VLOOKUP(AF238,AKT!$C$4:$E$324,3,FALSE)</f>
        <v>0942</v>
      </c>
    </row>
    <row r="239" spans="1:33">
      <c r="A239" s="69"/>
      <c r="B239" s="64" t="str">
        <f t="shared" si="32"/>
        <v/>
      </c>
      <c r="C239" s="69"/>
      <c r="D239" s="64" t="str">
        <f t="shared" si="33"/>
        <v/>
      </c>
      <c r="E239" s="102"/>
      <c r="F239" s="64" t="str">
        <f t="shared" si="36"/>
        <v/>
      </c>
      <c r="G239" s="64" t="str">
        <f t="shared" si="34"/>
        <v/>
      </c>
      <c r="H239" s="101"/>
      <c r="I239" s="101"/>
      <c r="J239" s="101"/>
      <c r="K239" s="112"/>
      <c r="L239" s="111"/>
      <c r="M239" s="111"/>
      <c r="N239" s="112"/>
      <c r="O239" s="235"/>
      <c r="P239" s="68"/>
      <c r="R239" t="str">
        <f t="shared" si="29"/>
        <v/>
      </c>
      <c r="S239" t="str">
        <f t="shared" si="30"/>
        <v/>
      </c>
      <c r="T239" t="str">
        <f t="shared" si="31"/>
        <v/>
      </c>
      <c r="AD239" t="s">
        <v>1875</v>
      </c>
      <c r="AE239" t="s">
        <v>1876</v>
      </c>
      <c r="AF239" t="str">
        <f t="shared" si="35"/>
        <v>A679074</v>
      </c>
      <c r="AG239" t="str">
        <f>VLOOKUP(AF239,AKT!$C$4:$E$324,3,FALSE)</f>
        <v>0942</v>
      </c>
    </row>
    <row r="240" spans="1:33">
      <c r="A240" s="69"/>
      <c r="B240" s="64" t="str">
        <f t="shared" si="32"/>
        <v/>
      </c>
      <c r="C240" s="69"/>
      <c r="D240" s="64" t="str">
        <f t="shared" si="33"/>
        <v/>
      </c>
      <c r="E240" s="102"/>
      <c r="F240" s="64" t="str">
        <f t="shared" si="36"/>
        <v/>
      </c>
      <c r="G240" s="64" t="str">
        <f t="shared" si="34"/>
        <v/>
      </c>
      <c r="H240" s="101"/>
      <c r="I240" s="101"/>
      <c r="J240" s="101"/>
      <c r="K240" s="112"/>
      <c r="L240" s="111"/>
      <c r="M240" s="111"/>
      <c r="N240" s="112"/>
      <c r="O240" s="235"/>
      <c r="P240" s="68"/>
      <c r="R240" t="str">
        <f t="shared" si="29"/>
        <v/>
      </c>
      <c r="S240" t="str">
        <f t="shared" si="30"/>
        <v/>
      </c>
      <c r="T240" t="str">
        <f t="shared" si="31"/>
        <v/>
      </c>
      <c r="AD240" t="s">
        <v>1877</v>
      </c>
      <c r="AE240" t="s">
        <v>1878</v>
      </c>
      <c r="AF240" t="str">
        <f t="shared" si="35"/>
        <v>A679074</v>
      </c>
      <c r="AG240" t="str">
        <f>VLOOKUP(AF240,AKT!$C$4:$E$324,3,FALSE)</f>
        <v>0942</v>
      </c>
    </row>
    <row r="241" spans="1:33">
      <c r="A241" s="69"/>
      <c r="B241" s="64" t="str">
        <f t="shared" si="32"/>
        <v/>
      </c>
      <c r="C241" s="69"/>
      <c r="D241" s="64" t="str">
        <f t="shared" si="33"/>
        <v/>
      </c>
      <c r="E241" s="102"/>
      <c r="F241" s="64" t="str">
        <f t="shared" si="36"/>
        <v/>
      </c>
      <c r="G241" s="64" t="str">
        <f t="shared" si="34"/>
        <v/>
      </c>
      <c r="H241" s="101"/>
      <c r="I241" s="101"/>
      <c r="J241" s="101"/>
      <c r="K241" s="112"/>
      <c r="L241" s="111"/>
      <c r="M241" s="111"/>
      <c r="N241" s="112"/>
      <c r="O241" s="235"/>
      <c r="P241" s="68"/>
      <c r="R241" t="str">
        <f t="shared" si="29"/>
        <v/>
      </c>
      <c r="S241" t="str">
        <f t="shared" si="30"/>
        <v/>
      </c>
      <c r="T241" t="str">
        <f t="shared" si="31"/>
        <v/>
      </c>
      <c r="AD241" t="s">
        <v>1879</v>
      </c>
      <c r="AE241" t="s">
        <v>1880</v>
      </c>
      <c r="AF241" t="str">
        <f t="shared" si="35"/>
        <v>A679074</v>
      </c>
      <c r="AG241" t="str">
        <f>VLOOKUP(AF241,AKT!$C$4:$E$324,3,FALSE)</f>
        <v>0942</v>
      </c>
    </row>
    <row r="242" spans="1:33">
      <c r="A242" s="69"/>
      <c r="B242" s="64" t="str">
        <f t="shared" si="32"/>
        <v/>
      </c>
      <c r="C242" s="69"/>
      <c r="D242" s="64" t="str">
        <f t="shared" si="33"/>
        <v/>
      </c>
      <c r="E242" s="102"/>
      <c r="F242" s="64" t="str">
        <f t="shared" si="36"/>
        <v/>
      </c>
      <c r="G242" s="64" t="str">
        <f t="shared" si="34"/>
        <v/>
      </c>
      <c r="H242" s="101"/>
      <c r="I242" s="101"/>
      <c r="J242" s="101"/>
      <c r="K242" s="112"/>
      <c r="L242" s="111"/>
      <c r="M242" s="111"/>
      <c r="N242" s="112"/>
      <c r="O242" s="235"/>
      <c r="P242" s="68"/>
      <c r="R242" t="str">
        <f t="shared" si="29"/>
        <v/>
      </c>
      <c r="S242" t="str">
        <f t="shared" si="30"/>
        <v/>
      </c>
      <c r="T242" t="str">
        <f t="shared" si="31"/>
        <v/>
      </c>
      <c r="AD242" t="s">
        <v>1881</v>
      </c>
      <c r="AE242" t="s">
        <v>1882</v>
      </c>
      <c r="AF242" t="str">
        <f t="shared" si="35"/>
        <v>A679074</v>
      </c>
      <c r="AG242" t="str">
        <f>VLOOKUP(AF242,AKT!$C$4:$E$324,3,FALSE)</f>
        <v>0942</v>
      </c>
    </row>
    <row r="243" spans="1:33">
      <c r="A243" s="69"/>
      <c r="B243" s="64" t="str">
        <f t="shared" si="32"/>
        <v/>
      </c>
      <c r="C243" s="69"/>
      <c r="D243" s="64" t="str">
        <f t="shared" si="33"/>
        <v/>
      </c>
      <c r="E243" s="102"/>
      <c r="F243" s="64" t="str">
        <f t="shared" si="36"/>
        <v/>
      </c>
      <c r="G243" s="64" t="str">
        <f t="shared" si="34"/>
        <v/>
      </c>
      <c r="H243" s="101"/>
      <c r="I243" s="101"/>
      <c r="J243" s="101"/>
      <c r="K243" s="112"/>
      <c r="L243" s="111"/>
      <c r="M243" s="111"/>
      <c r="N243" s="112"/>
      <c r="O243" s="235"/>
      <c r="P243" s="68"/>
      <c r="R243" t="str">
        <f t="shared" si="29"/>
        <v/>
      </c>
      <c r="S243" t="str">
        <f t="shared" si="30"/>
        <v/>
      </c>
      <c r="T243" t="str">
        <f t="shared" si="31"/>
        <v/>
      </c>
      <c r="AD243" t="s">
        <v>1883</v>
      </c>
      <c r="AE243" t="s">
        <v>1884</v>
      </c>
      <c r="AF243" t="str">
        <f t="shared" si="35"/>
        <v>A679074</v>
      </c>
      <c r="AG243" t="str">
        <f>VLOOKUP(AF243,AKT!$C$4:$E$324,3,FALSE)</f>
        <v>0942</v>
      </c>
    </row>
    <row r="244" spans="1:33">
      <c r="A244" s="69"/>
      <c r="B244" s="64" t="str">
        <f t="shared" si="32"/>
        <v/>
      </c>
      <c r="C244" s="69"/>
      <c r="D244" s="64" t="str">
        <f t="shared" si="33"/>
        <v/>
      </c>
      <c r="E244" s="102"/>
      <c r="F244" s="64" t="str">
        <f t="shared" si="36"/>
        <v/>
      </c>
      <c r="G244" s="64" t="str">
        <f t="shared" si="34"/>
        <v/>
      </c>
      <c r="H244" s="101"/>
      <c r="I244" s="101"/>
      <c r="J244" s="101"/>
      <c r="K244" s="112"/>
      <c r="L244" s="111"/>
      <c r="M244" s="111"/>
      <c r="N244" s="112"/>
      <c r="O244" s="235"/>
      <c r="P244" s="68"/>
      <c r="R244" t="str">
        <f t="shared" si="29"/>
        <v/>
      </c>
      <c r="S244" t="str">
        <f t="shared" si="30"/>
        <v/>
      </c>
      <c r="T244" t="str">
        <f t="shared" si="31"/>
        <v/>
      </c>
      <c r="AD244" t="s">
        <v>1885</v>
      </c>
      <c r="AE244" t="s">
        <v>1886</v>
      </c>
      <c r="AF244" t="str">
        <f t="shared" si="35"/>
        <v>A679074</v>
      </c>
      <c r="AG244" t="str">
        <f>VLOOKUP(AF244,AKT!$C$4:$E$324,3,FALSE)</f>
        <v>0942</v>
      </c>
    </row>
    <row r="245" spans="1:33">
      <c r="A245" s="69"/>
      <c r="B245" s="64" t="str">
        <f t="shared" si="32"/>
        <v/>
      </c>
      <c r="C245" s="69"/>
      <c r="D245" s="64" t="str">
        <f t="shared" si="33"/>
        <v/>
      </c>
      <c r="E245" s="102"/>
      <c r="F245" s="64" t="str">
        <f t="shared" si="36"/>
        <v/>
      </c>
      <c r="G245" s="64" t="str">
        <f t="shared" si="34"/>
        <v/>
      </c>
      <c r="H245" s="101"/>
      <c r="I245" s="101"/>
      <c r="J245" s="101"/>
      <c r="K245" s="112"/>
      <c r="L245" s="111"/>
      <c r="M245" s="111"/>
      <c r="N245" s="112"/>
      <c r="O245" s="235"/>
      <c r="P245" s="68"/>
      <c r="R245" t="str">
        <f t="shared" si="29"/>
        <v/>
      </c>
      <c r="S245" t="str">
        <f t="shared" si="30"/>
        <v/>
      </c>
      <c r="T245" t="str">
        <f t="shared" si="31"/>
        <v/>
      </c>
      <c r="AD245" t="s">
        <v>1887</v>
      </c>
      <c r="AE245" t="s">
        <v>1888</v>
      </c>
      <c r="AF245" t="str">
        <f t="shared" si="35"/>
        <v>A679074</v>
      </c>
      <c r="AG245" t="str">
        <f>VLOOKUP(AF245,AKT!$C$4:$E$324,3,FALSE)</f>
        <v>0942</v>
      </c>
    </row>
    <row r="246" spans="1:33">
      <c r="A246" s="69"/>
      <c r="B246" s="64" t="str">
        <f t="shared" si="32"/>
        <v/>
      </c>
      <c r="C246" s="69"/>
      <c r="D246" s="64" t="str">
        <f t="shared" si="33"/>
        <v/>
      </c>
      <c r="E246" s="102"/>
      <c r="F246" s="64" t="str">
        <f t="shared" si="36"/>
        <v/>
      </c>
      <c r="G246" s="64" t="str">
        <f t="shared" si="34"/>
        <v/>
      </c>
      <c r="H246" s="101"/>
      <c r="I246" s="101"/>
      <c r="J246" s="101"/>
      <c r="K246" s="112"/>
      <c r="L246" s="111"/>
      <c r="M246" s="111"/>
      <c r="N246" s="112"/>
      <c r="O246" s="235"/>
      <c r="P246" s="68"/>
      <c r="R246" t="str">
        <f t="shared" si="29"/>
        <v/>
      </c>
      <c r="S246" t="str">
        <f t="shared" si="30"/>
        <v/>
      </c>
      <c r="T246" t="str">
        <f t="shared" si="31"/>
        <v/>
      </c>
      <c r="AD246" t="s">
        <v>1889</v>
      </c>
      <c r="AE246" t="s">
        <v>1890</v>
      </c>
      <c r="AF246" t="str">
        <f t="shared" si="35"/>
        <v>A679074</v>
      </c>
      <c r="AG246" t="str">
        <f>VLOOKUP(AF246,AKT!$C$4:$E$324,3,FALSE)</f>
        <v>0942</v>
      </c>
    </row>
    <row r="247" spans="1:33">
      <c r="A247" s="69"/>
      <c r="B247" s="64" t="str">
        <f t="shared" si="32"/>
        <v/>
      </c>
      <c r="C247" s="69"/>
      <c r="D247" s="64" t="str">
        <f t="shared" si="33"/>
        <v/>
      </c>
      <c r="E247" s="102"/>
      <c r="F247" s="64" t="str">
        <f t="shared" si="36"/>
        <v/>
      </c>
      <c r="G247" s="64" t="str">
        <f t="shared" si="34"/>
        <v/>
      </c>
      <c r="H247" s="101"/>
      <c r="I247" s="101"/>
      <c r="J247" s="101"/>
      <c r="K247" s="112"/>
      <c r="L247" s="111"/>
      <c r="M247" s="111"/>
      <c r="N247" s="112"/>
      <c r="O247" s="235"/>
      <c r="P247" s="68"/>
      <c r="R247" t="str">
        <f t="shared" si="29"/>
        <v/>
      </c>
      <c r="S247" t="str">
        <f t="shared" si="30"/>
        <v/>
      </c>
      <c r="T247" t="str">
        <f t="shared" si="31"/>
        <v/>
      </c>
      <c r="AD247" t="s">
        <v>1891</v>
      </c>
      <c r="AE247" t="s">
        <v>1892</v>
      </c>
      <c r="AF247" t="str">
        <f t="shared" si="35"/>
        <v>A679074</v>
      </c>
      <c r="AG247" t="str">
        <f>VLOOKUP(AF247,AKT!$C$4:$E$324,3,FALSE)</f>
        <v>0942</v>
      </c>
    </row>
    <row r="248" spans="1:33">
      <c r="A248" s="69"/>
      <c r="B248" s="64" t="str">
        <f t="shared" si="32"/>
        <v/>
      </c>
      <c r="C248" s="69"/>
      <c r="D248" s="64" t="str">
        <f t="shared" si="33"/>
        <v/>
      </c>
      <c r="E248" s="102"/>
      <c r="F248" s="64" t="str">
        <f t="shared" si="36"/>
        <v/>
      </c>
      <c r="G248" s="64" t="str">
        <f t="shared" si="34"/>
        <v/>
      </c>
      <c r="H248" s="101"/>
      <c r="I248" s="101"/>
      <c r="J248" s="101"/>
      <c r="K248" s="112"/>
      <c r="L248" s="111"/>
      <c r="M248" s="111"/>
      <c r="N248" s="112"/>
      <c r="O248" s="235"/>
      <c r="P248" s="68"/>
      <c r="R248" t="str">
        <f t="shared" si="29"/>
        <v/>
      </c>
      <c r="S248" t="str">
        <f t="shared" si="30"/>
        <v/>
      </c>
      <c r="T248" t="str">
        <f t="shared" si="31"/>
        <v/>
      </c>
      <c r="AD248" t="s">
        <v>1893</v>
      </c>
      <c r="AE248" t="s">
        <v>1894</v>
      </c>
      <c r="AF248" t="str">
        <f t="shared" si="35"/>
        <v>A679074</v>
      </c>
      <c r="AG248" t="str">
        <f>VLOOKUP(AF248,AKT!$C$4:$E$324,3,FALSE)</f>
        <v>0942</v>
      </c>
    </row>
    <row r="249" spans="1:33">
      <c r="A249" s="69"/>
      <c r="B249" s="64" t="str">
        <f t="shared" si="32"/>
        <v/>
      </c>
      <c r="C249" s="69"/>
      <c r="D249" s="64" t="str">
        <f t="shared" si="33"/>
        <v/>
      </c>
      <c r="E249" s="102"/>
      <c r="F249" s="64" t="str">
        <f t="shared" si="36"/>
        <v/>
      </c>
      <c r="G249" s="64" t="str">
        <f t="shared" si="34"/>
        <v/>
      </c>
      <c r="H249" s="101"/>
      <c r="I249" s="101"/>
      <c r="J249" s="101"/>
      <c r="K249" s="112"/>
      <c r="L249" s="111"/>
      <c r="M249" s="111"/>
      <c r="N249" s="112"/>
      <c r="O249" s="235"/>
      <c r="P249" s="68"/>
      <c r="R249" t="str">
        <f t="shared" si="29"/>
        <v/>
      </c>
      <c r="S249" t="str">
        <f t="shared" si="30"/>
        <v/>
      </c>
      <c r="T249" t="str">
        <f t="shared" si="31"/>
        <v/>
      </c>
      <c r="AD249" t="s">
        <v>1895</v>
      </c>
      <c r="AE249" t="s">
        <v>1896</v>
      </c>
      <c r="AF249" t="str">
        <f t="shared" si="35"/>
        <v>A679074</v>
      </c>
      <c r="AG249" t="str">
        <f>VLOOKUP(AF249,AKT!$C$4:$E$324,3,FALSE)</f>
        <v>0942</v>
      </c>
    </row>
    <row r="250" spans="1:33">
      <c r="A250" s="69"/>
      <c r="B250" s="64" t="str">
        <f t="shared" si="32"/>
        <v/>
      </c>
      <c r="C250" s="69"/>
      <c r="D250" s="64" t="str">
        <f t="shared" si="33"/>
        <v/>
      </c>
      <c r="E250" s="102"/>
      <c r="F250" s="64" t="str">
        <f t="shared" si="36"/>
        <v/>
      </c>
      <c r="G250" s="64" t="str">
        <f t="shared" si="34"/>
        <v/>
      </c>
      <c r="H250" s="101"/>
      <c r="I250" s="101"/>
      <c r="J250" s="101"/>
      <c r="K250" s="112"/>
      <c r="L250" s="111"/>
      <c r="M250" s="111"/>
      <c r="N250" s="112"/>
      <c r="O250" s="235"/>
      <c r="P250" s="68"/>
      <c r="R250" t="str">
        <f t="shared" si="29"/>
        <v/>
      </c>
      <c r="S250" t="str">
        <f t="shared" si="30"/>
        <v/>
      </c>
      <c r="T250" t="str">
        <f t="shared" si="31"/>
        <v/>
      </c>
      <c r="AD250" t="s">
        <v>1897</v>
      </c>
      <c r="AE250" t="s">
        <v>1898</v>
      </c>
      <c r="AF250" t="str">
        <f t="shared" si="35"/>
        <v>A679074</v>
      </c>
      <c r="AG250" t="str">
        <f>VLOOKUP(AF250,AKT!$C$4:$E$324,3,FALSE)</f>
        <v>0942</v>
      </c>
    </row>
    <row r="251" spans="1:33">
      <c r="A251" s="69"/>
      <c r="B251" s="64" t="str">
        <f t="shared" si="32"/>
        <v/>
      </c>
      <c r="C251" s="69"/>
      <c r="D251" s="64" t="str">
        <f t="shared" si="33"/>
        <v/>
      </c>
      <c r="E251" s="102"/>
      <c r="F251" s="64" t="str">
        <f t="shared" si="36"/>
        <v/>
      </c>
      <c r="G251" s="64" t="str">
        <f t="shared" si="34"/>
        <v/>
      </c>
      <c r="H251" s="101"/>
      <c r="I251" s="101"/>
      <c r="J251" s="101"/>
      <c r="K251" s="112"/>
      <c r="L251" s="111"/>
      <c r="M251" s="111"/>
      <c r="N251" s="112"/>
      <c r="O251" s="235"/>
      <c r="P251" s="68"/>
      <c r="R251" t="str">
        <f t="shared" si="29"/>
        <v/>
      </c>
      <c r="S251" t="str">
        <f t="shared" si="30"/>
        <v/>
      </c>
      <c r="T251" t="str">
        <f t="shared" si="31"/>
        <v/>
      </c>
      <c r="AD251" t="s">
        <v>1899</v>
      </c>
      <c r="AE251" t="s">
        <v>1900</v>
      </c>
      <c r="AF251" t="str">
        <f t="shared" si="35"/>
        <v>A679074</v>
      </c>
      <c r="AG251" t="str">
        <f>VLOOKUP(AF251,AKT!$C$4:$E$324,3,FALSE)</f>
        <v>0942</v>
      </c>
    </row>
    <row r="252" spans="1:33">
      <c r="A252" s="69"/>
      <c r="B252" s="64" t="str">
        <f t="shared" si="32"/>
        <v/>
      </c>
      <c r="C252" s="69"/>
      <c r="D252" s="64" t="str">
        <f t="shared" si="33"/>
        <v/>
      </c>
      <c r="E252" s="102"/>
      <c r="F252" s="64" t="str">
        <f t="shared" si="36"/>
        <v/>
      </c>
      <c r="G252" s="64" t="str">
        <f t="shared" si="34"/>
        <v/>
      </c>
      <c r="H252" s="101"/>
      <c r="I252" s="101"/>
      <c r="J252" s="101"/>
      <c r="K252" s="112"/>
      <c r="L252" s="111"/>
      <c r="M252" s="111"/>
      <c r="N252" s="112"/>
      <c r="O252" s="235"/>
      <c r="P252" s="68"/>
      <c r="R252" t="str">
        <f t="shared" si="29"/>
        <v/>
      </c>
      <c r="S252" t="str">
        <f t="shared" si="30"/>
        <v/>
      </c>
      <c r="T252" t="str">
        <f t="shared" si="31"/>
        <v/>
      </c>
      <c r="AD252" t="s">
        <v>1901</v>
      </c>
      <c r="AE252" t="s">
        <v>1902</v>
      </c>
      <c r="AF252" t="str">
        <f t="shared" si="35"/>
        <v>A679075</v>
      </c>
      <c r="AG252" t="str">
        <f>VLOOKUP(AF252,AKT!$C$4:$E$324,3,FALSE)</f>
        <v>0942</v>
      </c>
    </row>
    <row r="253" spans="1:33">
      <c r="A253" s="69"/>
      <c r="B253" s="64" t="str">
        <f t="shared" si="32"/>
        <v/>
      </c>
      <c r="C253" s="69"/>
      <c r="D253" s="64" t="str">
        <f t="shared" si="33"/>
        <v/>
      </c>
      <c r="E253" s="102"/>
      <c r="F253" s="64" t="str">
        <f t="shared" si="36"/>
        <v/>
      </c>
      <c r="G253" s="64" t="str">
        <f t="shared" si="34"/>
        <v/>
      </c>
      <c r="H253" s="101"/>
      <c r="I253" s="101"/>
      <c r="J253" s="101"/>
      <c r="K253" s="112"/>
      <c r="L253" s="111"/>
      <c r="M253" s="111"/>
      <c r="N253" s="112"/>
      <c r="O253" s="235"/>
      <c r="P253" s="68"/>
      <c r="R253" t="str">
        <f t="shared" si="29"/>
        <v/>
      </c>
      <c r="S253" t="str">
        <f t="shared" si="30"/>
        <v/>
      </c>
      <c r="T253" t="str">
        <f t="shared" si="31"/>
        <v/>
      </c>
      <c r="AD253" t="s">
        <v>1903</v>
      </c>
      <c r="AE253" t="s">
        <v>1904</v>
      </c>
      <c r="AF253" t="str">
        <f t="shared" si="35"/>
        <v>A679075</v>
      </c>
      <c r="AG253" t="str">
        <f>VLOOKUP(AF253,AKT!$C$4:$E$324,3,FALSE)</f>
        <v>0942</v>
      </c>
    </row>
    <row r="254" spans="1:33">
      <c r="A254" s="69"/>
      <c r="B254" s="64" t="str">
        <f t="shared" si="32"/>
        <v/>
      </c>
      <c r="C254" s="69"/>
      <c r="D254" s="64" t="str">
        <f t="shared" si="33"/>
        <v/>
      </c>
      <c r="E254" s="102"/>
      <c r="F254" s="64" t="str">
        <f t="shared" si="36"/>
        <v/>
      </c>
      <c r="G254" s="64" t="str">
        <f t="shared" si="34"/>
        <v/>
      </c>
      <c r="H254" s="101"/>
      <c r="I254" s="101"/>
      <c r="J254" s="101"/>
      <c r="K254" s="112"/>
      <c r="L254" s="111"/>
      <c r="M254" s="111"/>
      <c r="N254" s="112"/>
      <c r="O254" s="235"/>
      <c r="P254" s="68"/>
      <c r="R254" t="str">
        <f t="shared" si="29"/>
        <v/>
      </c>
      <c r="S254" t="str">
        <f t="shared" si="30"/>
        <v/>
      </c>
      <c r="T254" t="str">
        <f t="shared" si="31"/>
        <v/>
      </c>
      <c r="AD254" t="s">
        <v>1905</v>
      </c>
      <c r="AE254" t="s">
        <v>1906</v>
      </c>
      <c r="AF254" t="str">
        <f t="shared" si="35"/>
        <v>A679075</v>
      </c>
      <c r="AG254" t="str">
        <f>VLOOKUP(AF254,AKT!$C$4:$E$324,3,FALSE)</f>
        <v>0942</v>
      </c>
    </row>
    <row r="255" spans="1:33">
      <c r="A255" s="69"/>
      <c r="B255" s="64" t="str">
        <f t="shared" si="32"/>
        <v/>
      </c>
      <c r="C255" s="69"/>
      <c r="D255" s="64" t="str">
        <f t="shared" si="33"/>
        <v/>
      </c>
      <c r="E255" s="102"/>
      <c r="F255" s="64" t="str">
        <f t="shared" si="36"/>
        <v/>
      </c>
      <c r="G255" s="64" t="str">
        <f t="shared" si="34"/>
        <v/>
      </c>
      <c r="H255" s="101"/>
      <c r="I255" s="101"/>
      <c r="J255" s="101"/>
      <c r="K255" s="112"/>
      <c r="L255" s="111"/>
      <c r="M255" s="111"/>
      <c r="N255" s="112"/>
      <c r="O255" s="235"/>
      <c r="P255" s="68"/>
      <c r="R255" t="str">
        <f t="shared" ref="R255:R318" si="37">LEFT(C255,3)</f>
        <v/>
      </c>
      <c r="S255" t="str">
        <f t="shared" ref="S255:S318" si="38">LEFT(C255,2)</f>
        <v/>
      </c>
      <c r="T255" t="str">
        <f t="shared" ref="T255:T318" si="39">MID(G255,2,2)</f>
        <v/>
      </c>
      <c r="AD255" t="s">
        <v>1907</v>
      </c>
      <c r="AE255" t="s">
        <v>1908</v>
      </c>
      <c r="AF255" t="str">
        <f t="shared" si="35"/>
        <v>A679075</v>
      </c>
      <c r="AG255" t="str">
        <f>VLOOKUP(AF255,AKT!$C$4:$E$324,3,FALSE)</f>
        <v>0942</v>
      </c>
    </row>
    <row r="256" spans="1:33">
      <c r="A256" s="69"/>
      <c r="B256" s="64" t="str">
        <f t="shared" si="32"/>
        <v/>
      </c>
      <c r="C256" s="69"/>
      <c r="D256" s="64" t="str">
        <f t="shared" si="33"/>
        <v/>
      </c>
      <c r="E256" s="102"/>
      <c r="F256" s="64" t="str">
        <f t="shared" si="36"/>
        <v/>
      </c>
      <c r="G256" s="64" t="str">
        <f t="shared" si="34"/>
        <v/>
      </c>
      <c r="H256" s="101"/>
      <c r="I256" s="101"/>
      <c r="J256" s="101"/>
      <c r="K256" s="112"/>
      <c r="L256" s="111"/>
      <c r="M256" s="111"/>
      <c r="N256" s="112"/>
      <c r="O256" s="235"/>
      <c r="P256" s="68"/>
      <c r="R256" t="str">
        <f t="shared" si="37"/>
        <v/>
      </c>
      <c r="S256" t="str">
        <f t="shared" si="38"/>
        <v/>
      </c>
      <c r="T256" t="str">
        <f t="shared" si="39"/>
        <v/>
      </c>
      <c r="AD256" t="s">
        <v>1909</v>
      </c>
      <c r="AE256" t="s">
        <v>1910</v>
      </c>
      <c r="AF256" t="str">
        <f t="shared" si="35"/>
        <v>A679075</v>
      </c>
      <c r="AG256" t="str">
        <f>VLOOKUP(AF256,AKT!$C$4:$E$324,3,FALSE)</f>
        <v>0942</v>
      </c>
    </row>
    <row r="257" spans="1:33">
      <c r="A257" s="69"/>
      <c r="B257" s="64" t="str">
        <f t="shared" si="32"/>
        <v/>
      </c>
      <c r="C257" s="69"/>
      <c r="D257" s="64" t="str">
        <f t="shared" si="33"/>
        <v/>
      </c>
      <c r="E257" s="102"/>
      <c r="F257" s="64" t="str">
        <f t="shared" si="36"/>
        <v/>
      </c>
      <c r="G257" s="64" t="str">
        <f t="shared" si="34"/>
        <v/>
      </c>
      <c r="H257" s="101"/>
      <c r="I257" s="101"/>
      <c r="J257" s="101"/>
      <c r="K257" s="112"/>
      <c r="L257" s="111"/>
      <c r="M257" s="111"/>
      <c r="N257" s="112"/>
      <c r="O257" s="235"/>
      <c r="P257" s="68"/>
      <c r="R257" t="str">
        <f t="shared" si="37"/>
        <v/>
      </c>
      <c r="S257" t="str">
        <f t="shared" si="38"/>
        <v/>
      </c>
      <c r="T257" t="str">
        <f t="shared" si="39"/>
        <v/>
      </c>
      <c r="AD257" t="s">
        <v>1911</v>
      </c>
      <c r="AE257" t="s">
        <v>1912</v>
      </c>
      <c r="AF257" t="str">
        <f t="shared" si="35"/>
        <v>A679075</v>
      </c>
      <c r="AG257" t="str">
        <f>VLOOKUP(AF257,AKT!$C$4:$E$324,3,FALSE)</f>
        <v>0942</v>
      </c>
    </row>
    <row r="258" spans="1:33">
      <c r="A258" s="69"/>
      <c r="B258" s="64" t="str">
        <f t="shared" si="32"/>
        <v/>
      </c>
      <c r="C258" s="69"/>
      <c r="D258" s="64" t="str">
        <f t="shared" si="33"/>
        <v/>
      </c>
      <c r="E258" s="102"/>
      <c r="F258" s="64" t="str">
        <f t="shared" si="36"/>
        <v/>
      </c>
      <c r="G258" s="64" t="str">
        <f t="shared" si="34"/>
        <v/>
      </c>
      <c r="H258" s="101"/>
      <c r="I258" s="101"/>
      <c r="J258" s="101"/>
      <c r="K258" s="112"/>
      <c r="L258" s="111"/>
      <c r="M258" s="111"/>
      <c r="N258" s="112"/>
      <c r="O258" s="235"/>
      <c r="P258" s="68"/>
      <c r="R258" t="str">
        <f t="shared" si="37"/>
        <v/>
      </c>
      <c r="S258" t="str">
        <f t="shared" si="38"/>
        <v/>
      </c>
      <c r="T258" t="str">
        <f t="shared" si="39"/>
        <v/>
      </c>
      <c r="AD258" t="s">
        <v>1913</v>
      </c>
      <c r="AE258" t="s">
        <v>1914</v>
      </c>
      <c r="AF258" t="str">
        <f t="shared" si="35"/>
        <v>A679075</v>
      </c>
      <c r="AG258" t="str">
        <f>VLOOKUP(AF258,AKT!$C$4:$E$324,3,FALSE)</f>
        <v>0942</v>
      </c>
    </row>
    <row r="259" spans="1:33">
      <c r="A259" s="69"/>
      <c r="B259" s="64" t="str">
        <f t="shared" ref="B259:B322" si="40">IFERROR(VLOOKUP(A259,$U$6:$V$23,2,FALSE),"")</f>
        <v/>
      </c>
      <c r="C259" s="69"/>
      <c r="D259" s="64" t="str">
        <f t="shared" ref="D259:D322" si="41">IFERROR(VLOOKUP(C259,$X$5:$Z$124,2,FALSE),"")</f>
        <v/>
      </c>
      <c r="E259" s="102"/>
      <c r="F259" s="64" t="str">
        <f t="shared" si="36"/>
        <v/>
      </c>
      <c r="G259" s="64" t="str">
        <f t="shared" ref="G259:G322" si="42">IFERROR(VLOOKUP(E259,$AD$6:$AG$1085,4,FALSE),"")</f>
        <v/>
      </c>
      <c r="H259" s="101"/>
      <c r="I259" s="101"/>
      <c r="J259" s="101"/>
      <c r="K259" s="112"/>
      <c r="L259" s="111"/>
      <c r="M259" s="111"/>
      <c r="N259" s="112"/>
      <c r="O259" s="235"/>
      <c r="P259" s="68"/>
      <c r="R259" t="str">
        <f t="shared" si="37"/>
        <v/>
      </c>
      <c r="S259" t="str">
        <f t="shared" si="38"/>
        <v/>
      </c>
      <c r="T259" t="str">
        <f t="shared" si="39"/>
        <v/>
      </c>
      <c r="AD259" t="s">
        <v>1915</v>
      </c>
      <c r="AE259" t="s">
        <v>1916</v>
      </c>
      <c r="AF259" t="str">
        <f t="shared" ref="AF259:AF322" si="43">LEFT(AD259,7)</f>
        <v>A679075</v>
      </c>
      <c r="AG259" t="str">
        <f>VLOOKUP(AF259,AKT!$C$4:$E$324,3,FALSE)</f>
        <v>0942</v>
      </c>
    </row>
    <row r="260" spans="1:33">
      <c r="A260" s="69"/>
      <c r="B260" s="64" t="str">
        <f t="shared" si="40"/>
        <v/>
      </c>
      <c r="C260" s="69"/>
      <c r="D260" s="64" t="str">
        <f t="shared" si="41"/>
        <v/>
      </c>
      <c r="E260" s="102"/>
      <c r="F260" s="64" t="str">
        <f t="shared" si="36"/>
        <v/>
      </c>
      <c r="G260" s="64" t="str">
        <f t="shared" si="42"/>
        <v/>
      </c>
      <c r="H260" s="101"/>
      <c r="I260" s="101"/>
      <c r="J260" s="101"/>
      <c r="K260" s="112"/>
      <c r="L260" s="111"/>
      <c r="M260" s="111"/>
      <c r="N260" s="112"/>
      <c r="O260" s="235"/>
      <c r="P260" s="68"/>
      <c r="R260" t="str">
        <f t="shared" si="37"/>
        <v/>
      </c>
      <c r="S260" t="str">
        <f t="shared" si="38"/>
        <v/>
      </c>
      <c r="T260" t="str">
        <f t="shared" si="39"/>
        <v/>
      </c>
      <c r="AD260" t="s">
        <v>1917</v>
      </c>
      <c r="AE260" t="s">
        <v>1918</v>
      </c>
      <c r="AF260" t="str">
        <f t="shared" si="43"/>
        <v>A679075</v>
      </c>
      <c r="AG260" t="str">
        <f>VLOOKUP(AF260,AKT!$C$4:$E$324,3,FALSE)</f>
        <v>0942</v>
      </c>
    </row>
    <row r="261" spans="1:33">
      <c r="A261" s="69"/>
      <c r="B261" s="64" t="str">
        <f t="shared" si="40"/>
        <v/>
      </c>
      <c r="C261" s="69"/>
      <c r="D261" s="64" t="str">
        <f t="shared" si="41"/>
        <v/>
      </c>
      <c r="E261" s="102"/>
      <c r="F261" s="64" t="str">
        <f t="shared" si="36"/>
        <v/>
      </c>
      <c r="G261" s="64" t="str">
        <f t="shared" si="42"/>
        <v/>
      </c>
      <c r="H261" s="101"/>
      <c r="I261" s="101"/>
      <c r="J261" s="101"/>
      <c r="K261" s="112"/>
      <c r="L261" s="111"/>
      <c r="M261" s="111"/>
      <c r="N261" s="112"/>
      <c r="O261" s="235"/>
      <c r="P261" s="68"/>
      <c r="R261" t="str">
        <f t="shared" si="37"/>
        <v/>
      </c>
      <c r="S261" t="str">
        <f t="shared" si="38"/>
        <v/>
      </c>
      <c r="T261" t="str">
        <f t="shared" si="39"/>
        <v/>
      </c>
      <c r="AD261" t="s">
        <v>1919</v>
      </c>
      <c r="AE261" t="s">
        <v>1920</v>
      </c>
      <c r="AF261" t="str">
        <f t="shared" si="43"/>
        <v>A679075</v>
      </c>
      <c r="AG261" t="str">
        <f>VLOOKUP(AF261,AKT!$C$4:$E$324,3,FALSE)</f>
        <v>0942</v>
      </c>
    </row>
    <row r="262" spans="1:33">
      <c r="A262" s="69"/>
      <c r="B262" s="64" t="str">
        <f t="shared" si="40"/>
        <v/>
      </c>
      <c r="C262" s="69"/>
      <c r="D262" s="64" t="str">
        <f t="shared" si="41"/>
        <v/>
      </c>
      <c r="E262" s="102"/>
      <c r="F262" s="64" t="str">
        <f t="shared" si="36"/>
        <v/>
      </c>
      <c r="G262" s="64" t="str">
        <f t="shared" si="42"/>
        <v/>
      </c>
      <c r="H262" s="101"/>
      <c r="I262" s="101"/>
      <c r="J262" s="101"/>
      <c r="K262" s="112"/>
      <c r="L262" s="111"/>
      <c r="M262" s="111"/>
      <c r="N262" s="112"/>
      <c r="O262" s="235"/>
      <c r="P262" s="68"/>
      <c r="R262" t="str">
        <f t="shared" si="37"/>
        <v/>
      </c>
      <c r="S262" t="str">
        <f t="shared" si="38"/>
        <v/>
      </c>
      <c r="T262" t="str">
        <f t="shared" si="39"/>
        <v/>
      </c>
      <c r="AD262" t="s">
        <v>1921</v>
      </c>
      <c r="AE262" t="s">
        <v>1922</v>
      </c>
      <c r="AF262" t="str">
        <f t="shared" si="43"/>
        <v>A679075</v>
      </c>
      <c r="AG262" t="str">
        <f>VLOOKUP(AF262,AKT!$C$4:$E$324,3,FALSE)</f>
        <v>0942</v>
      </c>
    </row>
    <row r="263" spans="1:33">
      <c r="A263" s="69"/>
      <c r="B263" s="64" t="str">
        <f t="shared" si="40"/>
        <v/>
      </c>
      <c r="C263" s="69"/>
      <c r="D263" s="64" t="str">
        <f t="shared" si="41"/>
        <v/>
      </c>
      <c r="E263" s="102"/>
      <c r="F263" s="64" t="str">
        <f t="shared" si="36"/>
        <v/>
      </c>
      <c r="G263" s="64" t="str">
        <f t="shared" si="42"/>
        <v/>
      </c>
      <c r="H263" s="101"/>
      <c r="I263" s="101"/>
      <c r="J263" s="101"/>
      <c r="K263" s="112"/>
      <c r="L263" s="111"/>
      <c r="M263" s="111"/>
      <c r="N263" s="112"/>
      <c r="O263" s="235"/>
      <c r="P263" s="68"/>
      <c r="R263" t="str">
        <f t="shared" si="37"/>
        <v/>
      </c>
      <c r="S263" t="str">
        <f t="shared" si="38"/>
        <v/>
      </c>
      <c r="T263" t="str">
        <f t="shared" si="39"/>
        <v/>
      </c>
      <c r="AD263" t="s">
        <v>1923</v>
      </c>
      <c r="AE263" t="s">
        <v>1924</v>
      </c>
      <c r="AF263" t="str">
        <f t="shared" si="43"/>
        <v>A679075</v>
      </c>
      <c r="AG263" t="str">
        <f>VLOOKUP(AF263,AKT!$C$4:$E$324,3,FALSE)</f>
        <v>0942</v>
      </c>
    </row>
    <row r="264" spans="1:33">
      <c r="A264" s="69"/>
      <c r="B264" s="64" t="str">
        <f t="shared" si="40"/>
        <v/>
      </c>
      <c r="C264" s="69"/>
      <c r="D264" s="64" t="str">
        <f t="shared" si="41"/>
        <v/>
      </c>
      <c r="E264" s="102"/>
      <c r="F264" s="64" t="str">
        <f t="shared" si="36"/>
        <v/>
      </c>
      <c r="G264" s="64" t="str">
        <f t="shared" si="42"/>
        <v/>
      </c>
      <c r="H264" s="101"/>
      <c r="I264" s="101"/>
      <c r="J264" s="101"/>
      <c r="K264" s="112"/>
      <c r="L264" s="111"/>
      <c r="M264" s="111"/>
      <c r="N264" s="112"/>
      <c r="O264" s="235"/>
      <c r="P264" s="68"/>
      <c r="R264" t="str">
        <f t="shared" si="37"/>
        <v/>
      </c>
      <c r="S264" t="str">
        <f t="shared" si="38"/>
        <v/>
      </c>
      <c r="T264" t="str">
        <f t="shared" si="39"/>
        <v/>
      </c>
      <c r="AD264" t="s">
        <v>1925</v>
      </c>
      <c r="AE264" t="s">
        <v>1926</v>
      </c>
      <c r="AF264" t="str">
        <f t="shared" si="43"/>
        <v>A679075</v>
      </c>
      <c r="AG264" t="str">
        <f>VLOOKUP(AF264,AKT!$C$4:$E$324,3,FALSE)</f>
        <v>0942</v>
      </c>
    </row>
    <row r="265" spans="1:33">
      <c r="A265" s="69"/>
      <c r="B265" s="64" t="str">
        <f t="shared" si="40"/>
        <v/>
      </c>
      <c r="C265" s="69"/>
      <c r="D265" s="64" t="str">
        <f t="shared" si="41"/>
        <v/>
      </c>
      <c r="E265" s="102"/>
      <c r="F265" s="64" t="str">
        <f t="shared" si="36"/>
        <v/>
      </c>
      <c r="G265" s="64" t="str">
        <f t="shared" si="42"/>
        <v/>
      </c>
      <c r="H265" s="101"/>
      <c r="I265" s="101"/>
      <c r="J265" s="101"/>
      <c r="K265" s="112"/>
      <c r="L265" s="111"/>
      <c r="M265" s="111"/>
      <c r="N265" s="112"/>
      <c r="O265" s="235"/>
      <c r="P265" s="68"/>
      <c r="R265" t="str">
        <f t="shared" si="37"/>
        <v/>
      </c>
      <c r="S265" t="str">
        <f t="shared" si="38"/>
        <v/>
      </c>
      <c r="T265" t="str">
        <f t="shared" si="39"/>
        <v/>
      </c>
      <c r="AD265" t="s">
        <v>1927</v>
      </c>
      <c r="AE265" t="s">
        <v>1928</v>
      </c>
      <c r="AF265" t="str">
        <f t="shared" si="43"/>
        <v>A679075</v>
      </c>
      <c r="AG265" t="str">
        <f>VLOOKUP(AF265,AKT!$C$4:$E$324,3,FALSE)</f>
        <v>0942</v>
      </c>
    </row>
    <row r="266" spans="1:33">
      <c r="A266" s="69"/>
      <c r="B266" s="64" t="str">
        <f t="shared" si="40"/>
        <v/>
      </c>
      <c r="C266" s="69"/>
      <c r="D266" s="64" t="str">
        <f t="shared" si="41"/>
        <v/>
      </c>
      <c r="E266" s="102"/>
      <c r="F266" s="64" t="str">
        <f t="shared" si="36"/>
        <v/>
      </c>
      <c r="G266" s="64" t="str">
        <f t="shared" si="42"/>
        <v/>
      </c>
      <c r="H266" s="101"/>
      <c r="I266" s="101"/>
      <c r="J266" s="101"/>
      <c r="K266" s="112"/>
      <c r="L266" s="111"/>
      <c r="M266" s="111"/>
      <c r="N266" s="112"/>
      <c r="O266" s="235"/>
      <c r="P266" s="68"/>
      <c r="R266" t="str">
        <f t="shared" si="37"/>
        <v/>
      </c>
      <c r="S266" t="str">
        <f t="shared" si="38"/>
        <v/>
      </c>
      <c r="T266" t="str">
        <f t="shared" si="39"/>
        <v/>
      </c>
      <c r="AD266" t="s">
        <v>1929</v>
      </c>
      <c r="AE266" t="s">
        <v>1930</v>
      </c>
      <c r="AF266" t="str">
        <f t="shared" si="43"/>
        <v>A679075</v>
      </c>
      <c r="AG266" t="str">
        <f>VLOOKUP(AF266,AKT!$C$4:$E$324,3,FALSE)</f>
        <v>0942</v>
      </c>
    </row>
    <row r="267" spans="1:33">
      <c r="A267" s="69"/>
      <c r="B267" s="64" t="str">
        <f t="shared" si="40"/>
        <v/>
      </c>
      <c r="C267" s="69"/>
      <c r="D267" s="64" t="str">
        <f t="shared" si="41"/>
        <v/>
      </c>
      <c r="E267" s="102"/>
      <c r="F267" s="64" t="str">
        <f t="shared" si="36"/>
        <v/>
      </c>
      <c r="G267" s="64" t="str">
        <f t="shared" si="42"/>
        <v/>
      </c>
      <c r="H267" s="101"/>
      <c r="I267" s="101"/>
      <c r="J267" s="101"/>
      <c r="K267" s="112"/>
      <c r="L267" s="111"/>
      <c r="M267" s="111"/>
      <c r="N267" s="112"/>
      <c r="O267" s="235"/>
      <c r="P267" s="68"/>
      <c r="R267" t="str">
        <f t="shared" si="37"/>
        <v/>
      </c>
      <c r="S267" t="str">
        <f t="shared" si="38"/>
        <v/>
      </c>
      <c r="T267" t="str">
        <f t="shared" si="39"/>
        <v/>
      </c>
      <c r="AD267" t="s">
        <v>1931</v>
      </c>
      <c r="AE267" t="s">
        <v>1932</v>
      </c>
      <c r="AF267" t="str">
        <f t="shared" si="43"/>
        <v>A679075</v>
      </c>
      <c r="AG267" t="str">
        <f>VLOOKUP(AF267,AKT!$C$4:$E$324,3,FALSE)</f>
        <v>0942</v>
      </c>
    </row>
    <row r="268" spans="1:33">
      <c r="A268" s="69"/>
      <c r="B268" s="64" t="str">
        <f t="shared" si="40"/>
        <v/>
      </c>
      <c r="C268" s="69"/>
      <c r="D268" s="64" t="str">
        <f t="shared" si="41"/>
        <v/>
      </c>
      <c r="E268" s="102"/>
      <c r="F268" s="64" t="str">
        <f t="shared" si="36"/>
        <v/>
      </c>
      <c r="G268" s="64" t="str">
        <f t="shared" si="42"/>
        <v/>
      </c>
      <c r="H268" s="101"/>
      <c r="I268" s="101"/>
      <c r="J268" s="101"/>
      <c r="K268" s="112"/>
      <c r="L268" s="111"/>
      <c r="M268" s="111"/>
      <c r="N268" s="112"/>
      <c r="O268" s="235"/>
      <c r="P268" s="68"/>
      <c r="R268" t="str">
        <f t="shared" si="37"/>
        <v/>
      </c>
      <c r="S268" t="str">
        <f t="shared" si="38"/>
        <v/>
      </c>
      <c r="T268" t="str">
        <f t="shared" si="39"/>
        <v/>
      </c>
      <c r="AD268" t="s">
        <v>1933</v>
      </c>
      <c r="AE268" t="s">
        <v>1934</v>
      </c>
      <c r="AF268" t="str">
        <f t="shared" si="43"/>
        <v>A679075</v>
      </c>
      <c r="AG268" t="str">
        <f>VLOOKUP(AF268,AKT!$C$4:$E$324,3,FALSE)</f>
        <v>0942</v>
      </c>
    </row>
    <row r="269" spans="1:33">
      <c r="A269" s="69"/>
      <c r="B269" s="64" t="str">
        <f t="shared" si="40"/>
        <v/>
      </c>
      <c r="C269" s="69"/>
      <c r="D269" s="64" t="str">
        <f t="shared" si="41"/>
        <v/>
      </c>
      <c r="E269" s="102"/>
      <c r="F269" s="64" t="str">
        <f t="shared" si="36"/>
        <v/>
      </c>
      <c r="G269" s="64" t="str">
        <f t="shared" si="42"/>
        <v/>
      </c>
      <c r="H269" s="101"/>
      <c r="I269" s="101"/>
      <c r="J269" s="101"/>
      <c r="K269" s="112"/>
      <c r="L269" s="111"/>
      <c r="M269" s="111"/>
      <c r="N269" s="112"/>
      <c r="O269" s="235"/>
      <c r="P269" s="68"/>
      <c r="R269" t="str">
        <f t="shared" si="37"/>
        <v/>
      </c>
      <c r="S269" t="str">
        <f t="shared" si="38"/>
        <v/>
      </c>
      <c r="T269" t="str">
        <f t="shared" si="39"/>
        <v/>
      </c>
      <c r="AD269" t="s">
        <v>1935</v>
      </c>
      <c r="AE269" t="s">
        <v>1936</v>
      </c>
      <c r="AF269" t="str">
        <f t="shared" si="43"/>
        <v>A679075</v>
      </c>
      <c r="AG269" t="str">
        <f>VLOOKUP(AF269,AKT!$C$4:$E$324,3,FALSE)</f>
        <v>0942</v>
      </c>
    </row>
    <row r="270" spans="1:33">
      <c r="A270" s="69"/>
      <c r="B270" s="64" t="str">
        <f t="shared" si="40"/>
        <v/>
      </c>
      <c r="C270" s="69"/>
      <c r="D270" s="64" t="str">
        <f t="shared" si="41"/>
        <v/>
      </c>
      <c r="E270" s="102"/>
      <c r="F270" s="64" t="str">
        <f t="shared" si="36"/>
        <v/>
      </c>
      <c r="G270" s="64" t="str">
        <f t="shared" si="42"/>
        <v/>
      </c>
      <c r="H270" s="101"/>
      <c r="I270" s="101"/>
      <c r="J270" s="101"/>
      <c r="K270" s="112"/>
      <c r="L270" s="111"/>
      <c r="M270" s="111"/>
      <c r="N270" s="112"/>
      <c r="O270" s="235"/>
      <c r="P270" s="68"/>
      <c r="R270" t="str">
        <f t="shared" si="37"/>
        <v/>
      </c>
      <c r="S270" t="str">
        <f t="shared" si="38"/>
        <v/>
      </c>
      <c r="T270" t="str">
        <f t="shared" si="39"/>
        <v/>
      </c>
      <c r="AD270" t="s">
        <v>1937</v>
      </c>
      <c r="AE270" t="s">
        <v>1930</v>
      </c>
      <c r="AF270" t="str">
        <f t="shared" si="43"/>
        <v>A679075</v>
      </c>
      <c r="AG270" t="str">
        <f>VLOOKUP(AF270,AKT!$C$4:$E$324,3,FALSE)</f>
        <v>0942</v>
      </c>
    </row>
    <row r="271" spans="1:33">
      <c r="A271" s="69"/>
      <c r="B271" s="64" t="str">
        <f t="shared" si="40"/>
        <v/>
      </c>
      <c r="C271" s="69"/>
      <c r="D271" s="64" t="str">
        <f t="shared" si="41"/>
        <v/>
      </c>
      <c r="E271" s="102"/>
      <c r="F271" s="64" t="str">
        <f t="shared" si="36"/>
        <v/>
      </c>
      <c r="G271" s="64" t="str">
        <f t="shared" si="42"/>
        <v/>
      </c>
      <c r="H271" s="101"/>
      <c r="I271" s="101"/>
      <c r="J271" s="101"/>
      <c r="K271" s="112"/>
      <c r="L271" s="111"/>
      <c r="M271" s="111"/>
      <c r="N271" s="112"/>
      <c r="O271" s="235"/>
      <c r="P271" s="68"/>
      <c r="R271" t="str">
        <f t="shared" si="37"/>
        <v/>
      </c>
      <c r="S271" t="str">
        <f t="shared" si="38"/>
        <v/>
      </c>
      <c r="T271" t="str">
        <f t="shared" si="39"/>
        <v/>
      </c>
      <c r="AD271" t="s">
        <v>1938</v>
      </c>
      <c r="AE271" t="s">
        <v>1939</v>
      </c>
      <c r="AF271" t="str">
        <f t="shared" si="43"/>
        <v>A679075</v>
      </c>
      <c r="AG271" t="str">
        <f>VLOOKUP(AF271,AKT!$C$4:$E$324,3,FALSE)</f>
        <v>0942</v>
      </c>
    </row>
    <row r="272" spans="1:33">
      <c r="A272" s="69"/>
      <c r="B272" s="64" t="str">
        <f t="shared" si="40"/>
        <v/>
      </c>
      <c r="C272" s="69"/>
      <c r="D272" s="64" t="str">
        <f t="shared" si="41"/>
        <v/>
      </c>
      <c r="E272" s="102"/>
      <c r="F272" s="64" t="str">
        <f t="shared" si="36"/>
        <v/>
      </c>
      <c r="G272" s="64" t="str">
        <f t="shared" si="42"/>
        <v/>
      </c>
      <c r="H272" s="101"/>
      <c r="I272" s="101"/>
      <c r="J272" s="101"/>
      <c r="K272" s="112"/>
      <c r="L272" s="111"/>
      <c r="M272" s="111"/>
      <c r="N272" s="112"/>
      <c r="O272" s="235"/>
      <c r="P272" s="68"/>
      <c r="R272" t="str">
        <f t="shared" si="37"/>
        <v/>
      </c>
      <c r="S272" t="str">
        <f t="shared" si="38"/>
        <v/>
      </c>
      <c r="T272" t="str">
        <f t="shared" si="39"/>
        <v/>
      </c>
      <c r="AD272" t="s">
        <v>1940</v>
      </c>
      <c r="AE272" t="s">
        <v>1941</v>
      </c>
      <c r="AF272" t="str">
        <f t="shared" si="43"/>
        <v>A679075</v>
      </c>
      <c r="AG272" t="str">
        <f>VLOOKUP(AF272,AKT!$C$4:$E$324,3,FALSE)</f>
        <v>0942</v>
      </c>
    </row>
    <row r="273" spans="1:33">
      <c r="A273" s="69"/>
      <c r="B273" s="64" t="str">
        <f t="shared" si="40"/>
        <v/>
      </c>
      <c r="C273" s="69"/>
      <c r="D273" s="64" t="str">
        <f t="shared" si="41"/>
        <v/>
      </c>
      <c r="E273" s="102"/>
      <c r="F273" s="64" t="str">
        <f t="shared" si="36"/>
        <v/>
      </c>
      <c r="G273" s="64" t="str">
        <f t="shared" si="42"/>
        <v/>
      </c>
      <c r="H273" s="101"/>
      <c r="I273" s="101"/>
      <c r="J273" s="101"/>
      <c r="K273" s="112"/>
      <c r="L273" s="111"/>
      <c r="M273" s="111"/>
      <c r="N273" s="112"/>
      <c r="O273" s="235"/>
      <c r="P273" s="68"/>
      <c r="R273" t="str">
        <f t="shared" si="37"/>
        <v/>
      </c>
      <c r="S273" t="str">
        <f t="shared" si="38"/>
        <v/>
      </c>
      <c r="T273" t="str">
        <f t="shared" si="39"/>
        <v/>
      </c>
      <c r="AD273" t="s">
        <v>1942</v>
      </c>
      <c r="AE273" t="s">
        <v>1943</v>
      </c>
      <c r="AF273" t="str">
        <f t="shared" si="43"/>
        <v>A679075</v>
      </c>
      <c r="AG273" t="str">
        <f>VLOOKUP(AF273,AKT!$C$4:$E$324,3,FALSE)</f>
        <v>0942</v>
      </c>
    </row>
    <row r="274" spans="1:33">
      <c r="A274" s="69"/>
      <c r="B274" s="64" t="str">
        <f t="shared" si="40"/>
        <v/>
      </c>
      <c r="C274" s="69"/>
      <c r="D274" s="64" t="str">
        <f t="shared" si="41"/>
        <v/>
      </c>
      <c r="E274" s="102"/>
      <c r="F274" s="64" t="str">
        <f t="shared" si="36"/>
        <v/>
      </c>
      <c r="G274" s="64" t="str">
        <f t="shared" si="42"/>
        <v/>
      </c>
      <c r="H274" s="101"/>
      <c r="I274" s="101"/>
      <c r="J274" s="101"/>
      <c r="K274" s="112"/>
      <c r="L274" s="111"/>
      <c r="M274" s="111"/>
      <c r="N274" s="112"/>
      <c r="O274" s="235"/>
      <c r="P274" s="68"/>
      <c r="R274" t="str">
        <f t="shared" si="37"/>
        <v/>
      </c>
      <c r="S274" t="str">
        <f t="shared" si="38"/>
        <v/>
      </c>
      <c r="T274" t="str">
        <f t="shared" si="39"/>
        <v/>
      </c>
      <c r="AD274" t="s">
        <v>1944</v>
      </c>
      <c r="AE274" t="s">
        <v>1945</v>
      </c>
      <c r="AF274" t="str">
        <f t="shared" si="43"/>
        <v>A679075</v>
      </c>
      <c r="AG274" t="str">
        <f>VLOOKUP(AF274,AKT!$C$4:$E$324,3,FALSE)</f>
        <v>0942</v>
      </c>
    </row>
    <row r="275" spans="1:33">
      <c r="A275" s="69"/>
      <c r="B275" s="64" t="str">
        <f t="shared" si="40"/>
        <v/>
      </c>
      <c r="C275" s="69"/>
      <c r="D275" s="64" t="str">
        <f t="shared" si="41"/>
        <v/>
      </c>
      <c r="E275" s="102"/>
      <c r="F275" s="64" t="str">
        <f t="shared" si="36"/>
        <v/>
      </c>
      <c r="G275" s="64" t="str">
        <f t="shared" si="42"/>
        <v/>
      </c>
      <c r="H275" s="101"/>
      <c r="I275" s="101"/>
      <c r="J275" s="101"/>
      <c r="K275" s="112"/>
      <c r="L275" s="111"/>
      <c r="M275" s="111"/>
      <c r="N275" s="112"/>
      <c r="O275" s="235"/>
      <c r="P275" s="68"/>
      <c r="R275" t="str">
        <f t="shared" si="37"/>
        <v/>
      </c>
      <c r="S275" t="str">
        <f t="shared" si="38"/>
        <v/>
      </c>
      <c r="T275" t="str">
        <f t="shared" si="39"/>
        <v/>
      </c>
      <c r="AD275" t="s">
        <v>1946</v>
      </c>
      <c r="AE275" t="s">
        <v>1947</v>
      </c>
      <c r="AF275" t="str">
        <f t="shared" si="43"/>
        <v>A679076</v>
      </c>
      <c r="AG275" t="str">
        <f>VLOOKUP(AF275,AKT!$C$4:$E$324,3,FALSE)</f>
        <v>0942</v>
      </c>
    </row>
    <row r="276" spans="1:33">
      <c r="A276" s="69"/>
      <c r="B276" s="64" t="str">
        <f t="shared" si="40"/>
        <v/>
      </c>
      <c r="C276" s="69"/>
      <c r="D276" s="64" t="str">
        <f t="shared" si="41"/>
        <v/>
      </c>
      <c r="E276" s="102"/>
      <c r="F276" s="64" t="str">
        <f t="shared" si="36"/>
        <v/>
      </c>
      <c r="G276" s="64" t="str">
        <f t="shared" si="42"/>
        <v/>
      </c>
      <c r="H276" s="101"/>
      <c r="I276" s="101"/>
      <c r="J276" s="101"/>
      <c r="K276" s="112"/>
      <c r="L276" s="111"/>
      <c r="M276" s="111"/>
      <c r="N276" s="112"/>
      <c r="O276" s="235"/>
      <c r="P276" s="68"/>
      <c r="R276" t="str">
        <f t="shared" si="37"/>
        <v/>
      </c>
      <c r="S276" t="str">
        <f t="shared" si="38"/>
        <v/>
      </c>
      <c r="T276" t="str">
        <f t="shared" si="39"/>
        <v/>
      </c>
      <c r="AD276" t="s">
        <v>1948</v>
      </c>
      <c r="AE276" t="s">
        <v>1949</v>
      </c>
      <c r="AF276" t="str">
        <f t="shared" si="43"/>
        <v>A679076</v>
      </c>
      <c r="AG276" t="str">
        <f>VLOOKUP(AF276,AKT!$C$4:$E$324,3,FALSE)</f>
        <v>0942</v>
      </c>
    </row>
    <row r="277" spans="1:33">
      <c r="A277" s="69"/>
      <c r="B277" s="64" t="str">
        <f t="shared" si="40"/>
        <v/>
      </c>
      <c r="C277" s="69"/>
      <c r="D277" s="64" t="str">
        <f t="shared" si="41"/>
        <v/>
      </c>
      <c r="E277" s="102"/>
      <c r="F277" s="64" t="str">
        <f t="shared" si="36"/>
        <v/>
      </c>
      <c r="G277" s="64" t="str">
        <f t="shared" si="42"/>
        <v/>
      </c>
      <c r="H277" s="101"/>
      <c r="I277" s="101"/>
      <c r="J277" s="101"/>
      <c r="K277" s="112"/>
      <c r="L277" s="111"/>
      <c r="M277" s="111"/>
      <c r="N277" s="112"/>
      <c r="O277" s="235"/>
      <c r="P277" s="68"/>
      <c r="R277" t="str">
        <f t="shared" si="37"/>
        <v/>
      </c>
      <c r="S277" t="str">
        <f t="shared" si="38"/>
        <v/>
      </c>
      <c r="T277" t="str">
        <f t="shared" si="39"/>
        <v/>
      </c>
      <c r="AD277" t="s">
        <v>1950</v>
      </c>
      <c r="AE277" t="s">
        <v>1951</v>
      </c>
      <c r="AF277" t="str">
        <f t="shared" si="43"/>
        <v>A679076</v>
      </c>
      <c r="AG277" t="str">
        <f>VLOOKUP(AF277,AKT!$C$4:$E$324,3,FALSE)</f>
        <v>0942</v>
      </c>
    </row>
    <row r="278" spans="1:33">
      <c r="A278" s="69"/>
      <c r="B278" s="64" t="str">
        <f t="shared" si="40"/>
        <v/>
      </c>
      <c r="C278" s="69"/>
      <c r="D278" s="64" t="str">
        <f t="shared" si="41"/>
        <v/>
      </c>
      <c r="E278" s="102"/>
      <c r="F278" s="64" t="str">
        <f t="shared" si="36"/>
        <v/>
      </c>
      <c r="G278" s="64" t="str">
        <f t="shared" si="42"/>
        <v/>
      </c>
      <c r="H278" s="101"/>
      <c r="I278" s="101"/>
      <c r="J278" s="101"/>
      <c r="K278" s="112"/>
      <c r="L278" s="111"/>
      <c r="M278" s="111"/>
      <c r="N278" s="112"/>
      <c r="O278" s="235"/>
      <c r="P278" s="68"/>
      <c r="R278" t="str">
        <f t="shared" si="37"/>
        <v/>
      </c>
      <c r="S278" t="str">
        <f t="shared" si="38"/>
        <v/>
      </c>
      <c r="T278" t="str">
        <f t="shared" si="39"/>
        <v/>
      </c>
      <c r="AD278" t="s">
        <v>1952</v>
      </c>
      <c r="AE278" t="s">
        <v>1953</v>
      </c>
      <c r="AF278" t="str">
        <f t="shared" si="43"/>
        <v>A679076</v>
      </c>
      <c r="AG278" t="str">
        <f>VLOOKUP(AF278,AKT!$C$4:$E$324,3,FALSE)</f>
        <v>0942</v>
      </c>
    </row>
    <row r="279" spans="1:33">
      <c r="A279" s="69"/>
      <c r="B279" s="64" t="str">
        <f t="shared" si="40"/>
        <v/>
      </c>
      <c r="C279" s="69"/>
      <c r="D279" s="64" t="str">
        <f t="shared" si="41"/>
        <v/>
      </c>
      <c r="E279" s="102"/>
      <c r="F279" s="64" t="str">
        <f t="shared" si="36"/>
        <v/>
      </c>
      <c r="G279" s="64" t="str">
        <f t="shared" si="42"/>
        <v/>
      </c>
      <c r="H279" s="101"/>
      <c r="I279" s="101"/>
      <c r="J279" s="101"/>
      <c r="K279" s="112"/>
      <c r="L279" s="111"/>
      <c r="M279" s="111"/>
      <c r="N279" s="112"/>
      <c r="O279" s="235"/>
      <c r="P279" s="68"/>
      <c r="R279" t="str">
        <f t="shared" si="37"/>
        <v/>
      </c>
      <c r="S279" t="str">
        <f t="shared" si="38"/>
        <v/>
      </c>
      <c r="T279" t="str">
        <f t="shared" si="39"/>
        <v/>
      </c>
      <c r="AD279" t="s">
        <v>1954</v>
      </c>
      <c r="AE279" t="s">
        <v>1955</v>
      </c>
      <c r="AF279" t="str">
        <f t="shared" si="43"/>
        <v>A679076</v>
      </c>
      <c r="AG279" t="str">
        <f>VLOOKUP(AF279,AKT!$C$4:$E$324,3,FALSE)</f>
        <v>0942</v>
      </c>
    </row>
    <row r="280" spans="1:33">
      <c r="A280" s="69"/>
      <c r="B280" s="64" t="str">
        <f t="shared" si="40"/>
        <v/>
      </c>
      <c r="C280" s="69"/>
      <c r="D280" s="64" t="str">
        <f t="shared" si="41"/>
        <v/>
      </c>
      <c r="E280" s="102"/>
      <c r="F280" s="64" t="str">
        <f t="shared" si="36"/>
        <v/>
      </c>
      <c r="G280" s="64" t="str">
        <f t="shared" si="42"/>
        <v/>
      </c>
      <c r="H280" s="101"/>
      <c r="I280" s="101"/>
      <c r="J280" s="101"/>
      <c r="K280" s="112"/>
      <c r="L280" s="111"/>
      <c r="M280" s="111"/>
      <c r="N280" s="112"/>
      <c r="O280" s="235"/>
      <c r="P280" s="68"/>
      <c r="R280" t="str">
        <f t="shared" si="37"/>
        <v/>
      </c>
      <c r="S280" t="str">
        <f t="shared" si="38"/>
        <v/>
      </c>
      <c r="T280" t="str">
        <f t="shared" si="39"/>
        <v/>
      </c>
      <c r="AD280" t="s">
        <v>1956</v>
      </c>
      <c r="AE280" t="s">
        <v>1957</v>
      </c>
      <c r="AF280" t="str">
        <f t="shared" si="43"/>
        <v>A679076</v>
      </c>
      <c r="AG280" t="str">
        <f>VLOOKUP(AF280,AKT!$C$4:$E$324,3,FALSE)</f>
        <v>0942</v>
      </c>
    </row>
    <row r="281" spans="1:33">
      <c r="A281" s="69"/>
      <c r="B281" s="64" t="str">
        <f t="shared" si="40"/>
        <v/>
      </c>
      <c r="C281" s="69"/>
      <c r="D281" s="64" t="str">
        <f t="shared" si="41"/>
        <v/>
      </c>
      <c r="E281" s="102"/>
      <c r="F281" s="64" t="str">
        <f t="shared" si="36"/>
        <v/>
      </c>
      <c r="G281" s="64" t="str">
        <f t="shared" si="42"/>
        <v/>
      </c>
      <c r="H281" s="101"/>
      <c r="I281" s="101"/>
      <c r="J281" s="101"/>
      <c r="K281" s="112"/>
      <c r="L281" s="111"/>
      <c r="M281" s="111"/>
      <c r="N281" s="112"/>
      <c r="O281" s="235"/>
      <c r="P281" s="68"/>
      <c r="R281" t="str">
        <f t="shared" si="37"/>
        <v/>
      </c>
      <c r="S281" t="str">
        <f t="shared" si="38"/>
        <v/>
      </c>
      <c r="T281" t="str">
        <f t="shared" si="39"/>
        <v/>
      </c>
      <c r="AD281" t="s">
        <v>1958</v>
      </c>
      <c r="AE281" t="s">
        <v>1959</v>
      </c>
      <c r="AF281" t="str">
        <f t="shared" si="43"/>
        <v>A679076</v>
      </c>
      <c r="AG281" t="str">
        <f>VLOOKUP(AF281,AKT!$C$4:$E$324,3,FALSE)</f>
        <v>0942</v>
      </c>
    </row>
    <row r="282" spans="1:33">
      <c r="A282" s="69"/>
      <c r="B282" s="64" t="str">
        <f t="shared" si="40"/>
        <v/>
      </c>
      <c r="C282" s="69"/>
      <c r="D282" s="64" t="str">
        <f t="shared" si="41"/>
        <v/>
      </c>
      <c r="E282" s="102"/>
      <c r="F282" s="64" t="str">
        <f t="shared" si="36"/>
        <v/>
      </c>
      <c r="G282" s="64" t="str">
        <f t="shared" si="42"/>
        <v/>
      </c>
      <c r="H282" s="101"/>
      <c r="I282" s="101"/>
      <c r="J282" s="101"/>
      <c r="K282" s="112"/>
      <c r="L282" s="111"/>
      <c r="M282" s="111"/>
      <c r="N282" s="112"/>
      <c r="O282" s="235"/>
      <c r="P282" s="68"/>
      <c r="R282" t="str">
        <f t="shared" si="37"/>
        <v/>
      </c>
      <c r="S282" t="str">
        <f t="shared" si="38"/>
        <v/>
      </c>
      <c r="T282" t="str">
        <f t="shared" si="39"/>
        <v/>
      </c>
      <c r="AD282" t="s">
        <v>1960</v>
      </c>
      <c r="AE282" t="s">
        <v>1961</v>
      </c>
      <c r="AF282" t="str">
        <f t="shared" si="43"/>
        <v>A679076</v>
      </c>
      <c r="AG282" t="str">
        <f>VLOOKUP(AF282,AKT!$C$4:$E$324,3,FALSE)</f>
        <v>0942</v>
      </c>
    </row>
    <row r="283" spans="1:33">
      <c r="A283" s="69"/>
      <c r="B283" s="64" t="str">
        <f t="shared" si="40"/>
        <v/>
      </c>
      <c r="C283" s="69"/>
      <c r="D283" s="64" t="str">
        <f t="shared" si="41"/>
        <v/>
      </c>
      <c r="E283" s="102"/>
      <c r="F283" s="64" t="str">
        <f t="shared" si="36"/>
        <v/>
      </c>
      <c r="G283" s="64" t="str">
        <f t="shared" si="42"/>
        <v/>
      </c>
      <c r="H283" s="101"/>
      <c r="I283" s="101"/>
      <c r="J283" s="101"/>
      <c r="K283" s="112"/>
      <c r="L283" s="111"/>
      <c r="M283" s="111"/>
      <c r="N283" s="112"/>
      <c r="O283" s="235"/>
      <c r="P283" s="68"/>
      <c r="R283" t="str">
        <f t="shared" si="37"/>
        <v/>
      </c>
      <c r="S283" t="str">
        <f t="shared" si="38"/>
        <v/>
      </c>
      <c r="T283" t="str">
        <f t="shared" si="39"/>
        <v/>
      </c>
      <c r="AD283" t="s">
        <v>1962</v>
      </c>
      <c r="AE283" t="s">
        <v>1963</v>
      </c>
      <c r="AF283" t="str">
        <f t="shared" si="43"/>
        <v>A679076</v>
      </c>
      <c r="AG283" t="str">
        <f>VLOOKUP(AF283,AKT!$C$4:$E$324,3,FALSE)</f>
        <v>0942</v>
      </c>
    </row>
    <row r="284" spans="1:33">
      <c r="A284" s="69"/>
      <c r="B284" s="64" t="str">
        <f t="shared" si="40"/>
        <v/>
      </c>
      <c r="C284" s="69"/>
      <c r="D284" s="64" t="str">
        <f t="shared" si="41"/>
        <v/>
      </c>
      <c r="E284" s="102"/>
      <c r="F284" s="64" t="str">
        <f t="shared" si="36"/>
        <v/>
      </c>
      <c r="G284" s="64" t="str">
        <f t="shared" si="42"/>
        <v/>
      </c>
      <c r="H284" s="101"/>
      <c r="I284" s="101"/>
      <c r="J284" s="101"/>
      <c r="K284" s="112"/>
      <c r="L284" s="111"/>
      <c r="M284" s="111"/>
      <c r="N284" s="112"/>
      <c r="O284" s="235"/>
      <c r="P284" s="68"/>
      <c r="R284" t="str">
        <f t="shared" si="37"/>
        <v/>
      </c>
      <c r="S284" t="str">
        <f t="shared" si="38"/>
        <v/>
      </c>
      <c r="T284" t="str">
        <f t="shared" si="39"/>
        <v/>
      </c>
      <c r="AD284" t="s">
        <v>1964</v>
      </c>
      <c r="AE284" t="s">
        <v>1965</v>
      </c>
      <c r="AF284" t="str">
        <f t="shared" si="43"/>
        <v>A679076</v>
      </c>
      <c r="AG284" t="str">
        <f>VLOOKUP(AF284,AKT!$C$4:$E$324,3,FALSE)</f>
        <v>0942</v>
      </c>
    </row>
    <row r="285" spans="1:33">
      <c r="A285" s="69"/>
      <c r="B285" s="64" t="str">
        <f t="shared" si="40"/>
        <v/>
      </c>
      <c r="C285" s="69"/>
      <c r="D285" s="64" t="str">
        <f t="shared" si="41"/>
        <v/>
      </c>
      <c r="E285" s="102"/>
      <c r="F285" s="64" t="str">
        <f t="shared" si="36"/>
        <v/>
      </c>
      <c r="G285" s="64" t="str">
        <f t="shared" si="42"/>
        <v/>
      </c>
      <c r="H285" s="101"/>
      <c r="I285" s="101"/>
      <c r="J285" s="101"/>
      <c r="K285" s="112"/>
      <c r="L285" s="111"/>
      <c r="M285" s="111"/>
      <c r="N285" s="112"/>
      <c r="O285" s="235"/>
      <c r="P285" s="68"/>
      <c r="R285" t="str">
        <f t="shared" si="37"/>
        <v/>
      </c>
      <c r="S285" t="str">
        <f t="shared" si="38"/>
        <v/>
      </c>
      <c r="T285" t="str">
        <f t="shared" si="39"/>
        <v/>
      </c>
      <c r="AD285" t="s">
        <v>1966</v>
      </c>
      <c r="AE285" t="s">
        <v>1967</v>
      </c>
      <c r="AF285" t="str">
        <f t="shared" si="43"/>
        <v>A679076</v>
      </c>
      <c r="AG285" t="str">
        <f>VLOOKUP(AF285,AKT!$C$4:$E$324,3,FALSE)</f>
        <v>0942</v>
      </c>
    </row>
    <row r="286" spans="1:33">
      <c r="A286" s="69"/>
      <c r="B286" s="64" t="str">
        <f t="shared" si="40"/>
        <v/>
      </c>
      <c r="C286" s="69"/>
      <c r="D286" s="64" t="str">
        <f t="shared" si="41"/>
        <v/>
      </c>
      <c r="E286" s="102"/>
      <c r="F286" s="64" t="str">
        <f t="shared" si="36"/>
        <v/>
      </c>
      <c r="G286" s="64" t="str">
        <f t="shared" si="42"/>
        <v/>
      </c>
      <c r="H286" s="101"/>
      <c r="I286" s="101"/>
      <c r="J286" s="101"/>
      <c r="K286" s="112"/>
      <c r="L286" s="111"/>
      <c r="M286" s="111"/>
      <c r="N286" s="112"/>
      <c r="O286" s="235"/>
      <c r="P286" s="68"/>
      <c r="R286" t="str">
        <f t="shared" si="37"/>
        <v/>
      </c>
      <c r="S286" t="str">
        <f t="shared" si="38"/>
        <v/>
      </c>
      <c r="T286" t="str">
        <f t="shared" si="39"/>
        <v/>
      </c>
      <c r="AD286" t="s">
        <v>1968</v>
      </c>
      <c r="AE286" t="s">
        <v>1969</v>
      </c>
      <c r="AF286" t="str">
        <f t="shared" si="43"/>
        <v>A679076</v>
      </c>
      <c r="AG286" t="str">
        <f>VLOOKUP(AF286,AKT!$C$4:$E$324,3,FALSE)</f>
        <v>0942</v>
      </c>
    </row>
    <row r="287" spans="1:33">
      <c r="A287" s="69"/>
      <c r="B287" s="64" t="str">
        <f t="shared" si="40"/>
        <v/>
      </c>
      <c r="C287" s="69"/>
      <c r="D287" s="64" t="str">
        <f t="shared" si="41"/>
        <v/>
      </c>
      <c r="E287" s="102"/>
      <c r="F287" s="64" t="str">
        <f t="shared" si="36"/>
        <v/>
      </c>
      <c r="G287" s="64" t="str">
        <f t="shared" si="42"/>
        <v/>
      </c>
      <c r="H287" s="101"/>
      <c r="I287" s="101"/>
      <c r="J287" s="101"/>
      <c r="K287" s="112"/>
      <c r="L287" s="111"/>
      <c r="M287" s="111"/>
      <c r="N287" s="112"/>
      <c r="O287" s="235"/>
      <c r="P287" s="68"/>
      <c r="R287" t="str">
        <f t="shared" si="37"/>
        <v/>
      </c>
      <c r="S287" t="str">
        <f t="shared" si="38"/>
        <v/>
      </c>
      <c r="T287" t="str">
        <f t="shared" si="39"/>
        <v/>
      </c>
      <c r="AD287" t="s">
        <v>1970</v>
      </c>
      <c r="AE287" t="s">
        <v>1971</v>
      </c>
      <c r="AF287" t="str">
        <f t="shared" si="43"/>
        <v>A679076</v>
      </c>
      <c r="AG287" t="str">
        <f>VLOOKUP(AF287,AKT!$C$4:$E$324,3,FALSE)</f>
        <v>0942</v>
      </c>
    </row>
    <row r="288" spans="1:33">
      <c r="A288" s="69"/>
      <c r="B288" s="64" t="str">
        <f t="shared" si="40"/>
        <v/>
      </c>
      <c r="C288" s="69"/>
      <c r="D288" s="64" t="str">
        <f t="shared" si="41"/>
        <v/>
      </c>
      <c r="E288" s="102"/>
      <c r="F288" s="64" t="str">
        <f t="shared" si="36"/>
        <v/>
      </c>
      <c r="G288" s="64" t="str">
        <f t="shared" si="42"/>
        <v/>
      </c>
      <c r="H288" s="101"/>
      <c r="I288" s="101"/>
      <c r="J288" s="101"/>
      <c r="K288" s="112"/>
      <c r="L288" s="111"/>
      <c r="M288" s="111"/>
      <c r="N288" s="112"/>
      <c r="O288" s="235"/>
      <c r="P288" s="68"/>
      <c r="R288" t="str">
        <f t="shared" si="37"/>
        <v/>
      </c>
      <c r="S288" t="str">
        <f t="shared" si="38"/>
        <v/>
      </c>
      <c r="T288" t="str">
        <f t="shared" si="39"/>
        <v/>
      </c>
      <c r="AD288" t="s">
        <v>1972</v>
      </c>
      <c r="AE288" t="s">
        <v>1973</v>
      </c>
      <c r="AF288" t="str">
        <f t="shared" si="43"/>
        <v>A679076</v>
      </c>
      <c r="AG288" t="str">
        <f>VLOOKUP(AF288,AKT!$C$4:$E$324,3,FALSE)</f>
        <v>0942</v>
      </c>
    </row>
    <row r="289" spans="1:33">
      <c r="A289" s="69"/>
      <c r="B289" s="64" t="str">
        <f t="shared" si="40"/>
        <v/>
      </c>
      <c r="C289" s="69"/>
      <c r="D289" s="64" t="str">
        <f t="shared" si="41"/>
        <v/>
      </c>
      <c r="E289" s="102"/>
      <c r="F289" s="64" t="str">
        <f t="shared" si="36"/>
        <v/>
      </c>
      <c r="G289" s="64" t="str">
        <f t="shared" si="42"/>
        <v/>
      </c>
      <c r="H289" s="101"/>
      <c r="I289" s="101"/>
      <c r="J289" s="101"/>
      <c r="K289" s="112"/>
      <c r="L289" s="111"/>
      <c r="M289" s="111"/>
      <c r="N289" s="112"/>
      <c r="O289" s="235"/>
      <c r="P289" s="68"/>
      <c r="R289" t="str">
        <f t="shared" si="37"/>
        <v/>
      </c>
      <c r="S289" t="str">
        <f t="shared" si="38"/>
        <v/>
      </c>
      <c r="T289" t="str">
        <f t="shared" si="39"/>
        <v/>
      </c>
      <c r="AD289" t="s">
        <v>1974</v>
      </c>
      <c r="AE289" t="s">
        <v>1434</v>
      </c>
      <c r="AF289" t="str">
        <f t="shared" si="43"/>
        <v>A679076</v>
      </c>
      <c r="AG289" t="str">
        <f>VLOOKUP(AF289,AKT!$C$4:$E$324,3,FALSE)</f>
        <v>0942</v>
      </c>
    </row>
    <row r="290" spans="1:33">
      <c r="A290" s="69"/>
      <c r="B290" s="64" t="str">
        <f t="shared" si="40"/>
        <v/>
      </c>
      <c r="C290" s="69"/>
      <c r="D290" s="64" t="str">
        <f t="shared" si="41"/>
        <v/>
      </c>
      <c r="E290" s="102"/>
      <c r="F290" s="64" t="str">
        <f t="shared" si="36"/>
        <v/>
      </c>
      <c r="G290" s="64" t="str">
        <f t="shared" si="42"/>
        <v/>
      </c>
      <c r="H290" s="101"/>
      <c r="I290" s="101"/>
      <c r="J290" s="101"/>
      <c r="K290" s="112"/>
      <c r="L290" s="111"/>
      <c r="M290" s="111"/>
      <c r="N290" s="112"/>
      <c r="O290" s="235"/>
      <c r="P290" s="68"/>
      <c r="R290" t="str">
        <f t="shared" si="37"/>
        <v/>
      </c>
      <c r="S290" t="str">
        <f t="shared" si="38"/>
        <v/>
      </c>
      <c r="T290" t="str">
        <f t="shared" si="39"/>
        <v/>
      </c>
      <c r="AD290" t="s">
        <v>1975</v>
      </c>
      <c r="AE290" t="s">
        <v>1976</v>
      </c>
      <c r="AF290" t="str">
        <f t="shared" si="43"/>
        <v>A679077</v>
      </c>
      <c r="AG290" t="str">
        <f>VLOOKUP(AF290,AKT!$C$4:$E$324,3,FALSE)</f>
        <v>0942</v>
      </c>
    </row>
    <row r="291" spans="1:33">
      <c r="A291" s="69"/>
      <c r="B291" s="64" t="str">
        <f t="shared" si="40"/>
        <v/>
      </c>
      <c r="C291" s="69"/>
      <c r="D291" s="64" t="str">
        <f t="shared" si="41"/>
        <v/>
      </c>
      <c r="E291" s="102"/>
      <c r="F291" s="64" t="str">
        <f t="shared" si="36"/>
        <v/>
      </c>
      <c r="G291" s="64" t="str">
        <f t="shared" si="42"/>
        <v/>
      </c>
      <c r="H291" s="101"/>
      <c r="I291" s="101"/>
      <c r="J291" s="101"/>
      <c r="K291" s="112"/>
      <c r="L291" s="111"/>
      <c r="M291" s="111"/>
      <c r="N291" s="112"/>
      <c r="O291" s="235"/>
      <c r="P291" s="68"/>
      <c r="R291" t="str">
        <f t="shared" si="37"/>
        <v/>
      </c>
      <c r="S291" t="str">
        <f t="shared" si="38"/>
        <v/>
      </c>
      <c r="T291" t="str">
        <f t="shared" si="39"/>
        <v/>
      </c>
      <c r="AD291" t="s">
        <v>1977</v>
      </c>
      <c r="AE291" t="s">
        <v>1978</v>
      </c>
      <c r="AF291" t="str">
        <f t="shared" si="43"/>
        <v>A679077</v>
      </c>
      <c r="AG291" t="str">
        <f>VLOOKUP(AF291,AKT!$C$4:$E$324,3,FALSE)</f>
        <v>0942</v>
      </c>
    </row>
    <row r="292" spans="1:33">
      <c r="A292" s="69"/>
      <c r="B292" s="64" t="str">
        <f t="shared" si="40"/>
        <v/>
      </c>
      <c r="C292" s="69"/>
      <c r="D292" s="64" t="str">
        <f t="shared" si="41"/>
        <v/>
      </c>
      <c r="E292" s="102"/>
      <c r="F292" s="64" t="str">
        <f t="shared" si="36"/>
        <v/>
      </c>
      <c r="G292" s="64" t="str">
        <f t="shared" si="42"/>
        <v/>
      </c>
      <c r="H292" s="101"/>
      <c r="I292" s="101"/>
      <c r="J292" s="101"/>
      <c r="K292" s="112"/>
      <c r="L292" s="111"/>
      <c r="M292" s="111"/>
      <c r="N292" s="112"/>
      <c r="O292" s="235"/>
      <c r="P292" s="68"/>
      <c r="R292" t="str">
        <f t="shared" si="37"/>
        <v/>
      </c>
      <c r="S292" t="str">
        <f t="shared" si="38"/>
        <v/>
      </c>
      <c r="T292" t="str">
        <f t="shared" si="39"/>
        <v/>
      </c>
      <c r="AD292" t="s">
        <v>1979</v>
      </c>
      <c r="AE292" t="s">
        <v>1980</v>
      </c>
      <c r="AF292" t="str">
        <f t="shared" si="43"/>
        <v>A679077</v>
      </c>
      <c r="AG292" t="str">
        <f>VLOOKUP(AF292,AKT!$C$4:$E$324,3,FALSE)</f>
        <v>0942</v>
      </c>
    </row>
    <row r="293" spans="1:33">
      <c r="A293" s="69"/>
      <c r="B293" s="64" t="str">
        <f t="shared" si="40"/>
        <v/>
      </c>
      <c r="C293" s="69"/>
      <c r="D293" s="64" t="str">
        <f t="shared" si="41"/>
        <v/>
      </c>
      <c r="E293" s="102"/>
      <c r="F293" s="64" t="str">
        <f t="shared" si="36"/>
        <v/>
      </c>
      <c r="G293" s="64" t="str">
        <f t="shared" si="42"/>
        <v/>
      </c>
      <c r="H293" s="101"/>
      <c r="I293" s="101"/>
      <c r="J293" s="101"/>
      <c r="K293" s="112"/>
      <c r="L293" s="111"/>
      <c r="M293" s="111"/>
      <c r="N293" s="112"/>
      <c r="O293" s="235"/>
      <c r="P293" s="68"/>
      <c r="R293" t="str">
        <f t="shared" si="37"/>
        <v/>
      </c>
      <c r="S293" t="str">
        <f t="shared" si="38"/>
        <v/>
      </c>
      <c r="T293" t="str">
        <f t="shared" si="39"/>
        <v/>
      </c>
      <c r="AD293" t="s">
        <v>1981</v>
      </c>
      <c r="AE293" t="s">
        <v>1982</v>
      </c>
      <c r="AF293" t="str">
        <f t="shared" si="43"/>
        <v>A679077</v>
      </c>
      <c r="AG293" t="str">
        <f>VLOOKUP(AF293,AKT!$C$4:$E$324,3,FALSE)</f>
        <v>0942</v>
      </c>
    </row>
    <row r="294" spans="1:33">
      <c r="A294" s="69"/>
      <c r="B294" s="64" t="str">
        <f t="shared" si="40"/>
        <v/>
      </c>
      <c r="C294" s="69"/>
      <c r="D294" s="64" t="str">
        <f t="shared" si="41"/>
        <v/>
      </c>
      <c r="E294" s="102"/>
      <c r="F294" s="64" t="str">
        <f t="shared" si="36"/>
        <v/>
      </c>
      <c r="G294" s="64" t="str">
        <f t="shared" si="42"/>
        <v/>
      </c>
      <c r="H294" s="101"/>
      <c r="I294" s="101"/>
      <c r="J294" s="101"/>
      <c r="K294" s="112"/>
      <c r="L294" s="111"/>
      <c r="M294" s="111"/>
      <c r="N294" s="112"/>
      <c r="O294" s="235"/>
      <c r="P294" s="68"/>
      <c r="R294" t="str">
        <f t="shared" si="37"/>
        <v/>
      </c>
      <c r="S294" t="str">
        <f t="shared" si="38"/>
        <v/>
      </c>
      <c r="T294" t="str">
        <f t="shared" si="39"/>
        <v/>
      </c>
      <c r="AD294" t="s">
        <v>1983</v>
      </c>
      <c r="AE294" t="s">
        <v>1984</v>
      </c>
      <c r="AF294" t="str">
        <f t="shared" si="43"/>
        <v>A679077</v>
      </c>
      <c r="AG294" t="str">
        <f>VLOOKUP(AF294,AKT!$C$4:$E$324,3,FALSE)</f>
        <v>0942</v>
      </c>
    </row>
    <row r="295" spans="1:33">
      <c r="A295" s="69"/>
      <c r="B295" s="64" t="str">
        <f t="shared" si="40"/>
        <v/>
      </c>
      <c r="C295" s="69"/>
      <c r="D295" s="64" t="str">
        <f t="shared" si="41"/>
        <v/>
      </c>
      <c r="E295" s="102"/>
      <c r="F295" s="64" t="str">
        <f t="shared" si="36"/>
        <v/>
      </c>
      <c r="G295" s="64" t="str">
        <f t="shared" si="42"/>
        <v/>
      </c>
      <c r="H295" s="101"/>
      <c r="I295" s="101"/>
      <c r="J295" s="101"/>
      <c r="K295" s="112"/>
      <c r="L295" s="111"/>
      <c r="M295" s="111"/>
      <c r="N295" s="112"/>
      <c r="O295" s="235"/>
      <c r="P295" s="68"/>
      <c r="R295" t="str">
        <f t="shared" si="37"/>
        <v/>
      </c>
      <c r="S295" t="str">
        <f t="shared" si="38"/>
        <v/>
      </c>
      <c r="T295" t="str">
        <f t="shared" si="39"/>
        <v/>
      </c>
      <c r="AD295" t="s">
        <v>1985</v>
      </c>
      <c r="AE295" t="s">
        <v>1986</v>
      </c>
      <c r="AF295" t="str">
        <f t="shared" si="43"/>
        <v>A679077</v>
      </c>
      <c r="AG295" t="str">
        <f>VLOOKUP(AF295,AKT!$C$4:$E$324,3,FALSE)</f>
        <v>0942</v>
      </c>
    </row>
    <row r="296" spans="1:33">
      <c r="A296" s="69"/>
      <c r="B296" s="64" t="str">
        <f t="shared" si="40"/>
        <v/>
      </c>
      <c r="C296" s="69"/>
      <c r="D296" s="64" t="str">
        <f t="shared" si="41"/>
        <v/>
      </c>
      <c r="E296" s="102"/>
      <c r="F296" s="64" t="str">
        <f t="shared" si="36"/>
        <v/>
      </c>
      <c r="G296" s="64" t="str">
        <f t="shared" si="42"/>
        <v/>
      </c>
      <c r="H296" s="101"/>
      <c r="I296" s="101"/>
      <c r="J296" s="101"/>
      <c r="K296" s="112"/>
      <c r="L296" s="111"/>
      <c r="M296" s="111"/>
      <c r="N296" s="112"/>
      <c r="O296" s="235"/>
      <c r="P296" s="68"/>
      <c r="R296" t="str">
        <f t="shared" si="37"/>
        <v/>
      </c>
      <c r="S296" t="str">
        <f t="shared" si="38"/>
        <v/>
      </c>
      <c r="T296" t="str">
        <f t="shared" si="39"/>
        <v/>
      </c>
      <c r="AD296" t="s">
        <v>1987</v>
      </c>
      <c r="AE296" t="s">
        <v>1988</v>
      </c>
      <c r="AF296" t="str">
        <f t="shared" si="43"/>
        <v>A679077</v>
      </c>
      <c r="AG296" t="str">
        <f>VLOOKUP(AF296,AKT!$C$4:$E$324,3,FALSE)</f>
        <v>0942</v>
      </c>
    </row>
    <row r="297" spans="1:33">
      <c r="A297" s="69"/>
      <c r="B297" s="64" t="str">
        <f t="shared" si="40"/>
        <v/>
      </c>
      <c r="C297" s="69"/>
      <c r="D297" s="64" t="str">
        <f t="shared" si="41"/>
        <v/>
      </c>
      <c r="E297" s="102"/>
      <c r="F297" s="64" t="str">
        <f t="shared" si="36"/>
        <v/>
      </c>
      <c r="G297" s="64" t="str">
        <f t="shared" si="42"/>
        <v/>
      </c>
      <c r="H297" s="101"/>
      <c r="I297" s="101"/>
      <c r="J297" s="101"/>
      <c r="K297" s="112"/>
      <c r="L297" s="111"/>
      <c r="M297" s="111"/>
      <c r="N297" s="112"/>
      <c r="O297" s="235"/>
      <c r="P297" s="68"/>
      <c r="R297" t="str">
        <f t="shared" si="37"/>
        <v/>
      </c>
      <c r="S297" t="str">
        <f t="shared" si="38"/>
        <v/>
      </c>
      <c r="T297" t="str">
        <f t="shared" si="39"/>
        <v/>
      </c>
      <c r="AD297" t="s">
        <v>1989</v>
      </c>
      <c r="AE297" t="s">
        <v>1990</v>
      </c>
      <c r="AF297" t="str">
        <f t="shared" si="43"/>
        <v>A679077</v>
      </c>
      <c r="AG297" t="str">
        <f>VLOOKUP(AF297,AKT!$C$4:$E$324,3,FALSE)</f>
        <v>0942</v>
      </c>
    </row>
    <row r="298" spans="1:33">
      <c r="A298" s="69"/>
      <c r="B298" s="64" t="str">
        <f t="shared" si="40"/>
        <v/>
      </c>
      <c r="C298" s="69"/>
      <c r="D298" s="64" t="str">
        <f t="shared" si="41"/>
        <v/>
      </c>
      <c r="E298" s="102"/>
      <c r="F298" s="64" t="str">
        <f t="shared" ref="F298:F361" si="44">IFERROR(VLOOKUP(E298,$AD$6:$AE$1085,2,FALSE),"")</f>
        <v/>
      </c>
      <c r="G298" s="64" t="str">
        <f t="shared" si="42"/>
        <v/>
      </c>
      <c r="H298" s="101"/>
      <c r="I298" s="101"/>
      <c r="J298" s="101"/>
      <c r="K298" s="112"/>
      <c r="L298" s="111"/>
      <c r="M298" s="111"/>
      <c r="N298" s="112"/>
      <c r="O298" s="235"/>
      <c r="P298" s="68"/>
      <c r="R298" t="str">
        <f t="shared" si="37"/>
        <v/>
      </c>
      <c r="S298" t="str">
        <f t="shared" si="38"/>
        <v/>
      </c>
      <c r="T298" t="str">
        <f t="shared" si="39"/>
        <v/>
      </c>
      <c r="AD298" t="s">
        <v>1991</v>
      </c>
      <c r="AE298" t="s">
        <v>1992</v>
      </c>
      <c r="AF298" t="str">
        <f t="shared" si="43"/>
        <v>A679077</v>
      </c>
      <c r="AG298" t="str">
        <f>VLOOKUP(AF298,AKT!$C$4:$E$324,3,FALSE)</f>
        <v>0942</v>
      </c>
    </row>
    <row r="299" spans="1:33">
      <c r="A299" s="69"/>
      <c r="B299" s="64" t="str">
        <f t="shared" si="40"/>
        <v/>
      </c>
      <c r="C299" s="69"/>
      <c r="D299" s="64" t="str">
        <f t="shared" si="41"/>
        <v/>
      </c>
      <c r="E299" s="102"/>
      <c r="F299" s="64" t="str">
        <f t="shared" si="44"/>
        <v/>
      </c>
      <c r="G299" s="64" t="str">
        <f t="shared" si="42"/>
        <v/>
      </c>
      <c r="H299" s="101"/>
      <c r="I299" s="101"/>
      <c r="J299" s="101"/>
      <c r="K299" s="112"/>
      <c r="L299" s="111"/>
      <c r="M299" s="111"/>
      <c r="N299" s="112"/>
      <c r="O299" s="235"/>
      <c r="P299" s="68"/>
      <c r="R299" t="str">
        <f t="shared" si="37"/>
        <v/>
      </c>
      <c r="S299" t="str">
        <f t="shared" si="38"/>
        <v/>
      </c>
      <c r="T299" t="str">
        <f t="shared" si="39"/>
        <v/>
      </c>
      <c r="AD299" t="s">
        <v>1993</v>
      </c>
      <c r="AE299" t="s">
        <v>1994</v>
      </c>
      <c r="AF299" t="str">
        <f t="shared" si="43"/>
        <v>A679077</v>
      </c>
      <c r="AG299" t="str">
        <f>VLOOKUP(AF299,AKT!$C$4:$E$324,3,FALSE)</f>
        <v>0942</v>
      </c>
    </row>
    <row r="300" spans="1:33">
      <c r="A300" s="69"/>
      <c r="B300" s="64" t="str">
        <f t="shared" si="40"/>
        <v/>
      </c>
      <c r="C300" s="69"/>
      <c r="D300" s="64" t="str">
        <f t="shared" si="41"/>
        <v/>
      </c>
      <c r="E300" s="102"/>
      <c r="F300" s="64" t="str">
        <f t="shared" si="44"/>
        <v/>
      </c>
      <c r="G300" s="64" t="str">
        <f t="shared" si="42"/>
        <v/>
      </c>
      <c r="H300" s="101"/>
      <c r="I300" s="101"/>
      <c r="J300" s="101"/>
      <c r="K300" s="112"/>
      <c r="L300" s="111"/>
      <c r="M300" s="111"/>
      <c r="N300" s="112"/>
      <c r="O300" s="235"/>
      <c r="P300" s="68"/>
      <c r="R300" t="str">
        <f t="shared" si="37"/>
        <v/>
      </c>
      <c r="S300" t="str">
        <f t="shared" si="38"/>
        <v/>
      </c>
      <c r="T300" t="str">
        <f t="shared" si="39"/>
        <v/>
      </c>
      <c r="AD300" t="s">
        <v>1995</v>
      </c>
      <c r="AE300" t="s">
        <v>1996</v>
      </c>
      <c r="AF300" t="str">
        <f t="shared" si="43"/>
        <v>A679077</v>
      </c>
      <c r="AG300" t="str">
        <f>VLOOKUP(AF300,AKT!$C$4:$E$324,3,FALSE)</f>
        <v>0942</v>
      </c>
    </row>
    <row r="301" spans="1:33">
      <c r="A301" s="69"/>
      <c r="B301" s="64" t="str">
        <f t="shared" si="40"/>
        <v/>
      </c>
      <c r="C301" s="69"/>
      <c r="D301" s="64" t="str">
        <f t="shared" si="41"/>
        <v/>
      </c>
      <c r="E301" s="102"/>
      <c r="F301" s="64" t="str">
        <f t="shared" si="44"/>
        <v/>
      </c>
      <c r="G301" s="64" t="str">
        <f t="shared" si="42"/>
        <v/>
      </c>
      <c r="H301" s="101"/>
      <c r="I301" s="101"/>
      <c r="J301" s="101"/>
      <c r="K301" s="112"/>
      <c r="L301" s="111"/>
      <c r="M301" s="111"/>
      <c r="N301" s="112"/>
      <c r="O301" s="235"/>
      <c r="P301" s="68"/>
      <c r="R301" t="str">
        <f t="shared" si="37"/>
        <v/>
      </c>
      <c r="S301" t="str">
        <f t="shared" si="38"/>
        <v/>
      </c>
      <c r="T301" t="str">
        <f t="shared" si="39"/>
        <v/>
      </c>
      <c r="AD301" t="s">
        <v>1997</v>
      </c>
      <c r="AE301" t="s">
        <v>1998</v>
      </c>
      <c r="AF301" t="str">
        <f t="shared" si="43"/>
        <v>A679077</v>
      </c>
      <c r="AG301" t="str">
        <f>VLOOKUP(AF301,AKT!$C$4:$E$324,3,FALSE)</f>
        <v>0942</v>
      </c>
    </row>
    <row r="302" spans="1:33">
      <c r="A302" s="69"/>
      <c r="B302" s="64" t="str">
        <f t="shared" si="40"/>
        <v/>
      </c>
      <c r="C302" s="69"/>
      <c r="D302" s="64" t="str">
        <f t="shared" si="41"/>
        <v/>
      </c>
      <c r="E302" s="102"/>
      <c r="F302" s="64" t="str">
        <f t="shared" si="44"/>
        <v/>
      </c>
      <c r="G302" s="64" t="str">
        <f t="shared" si="42"/>
        <v/>
      </c>
      <c r="H302" s="101"/>
      <c r="I302" s="101"/>
      <c r="J302" s="101"/>
      <c r="K302" s="112"/>
      <c r="L302" s="111"/>
      <c r="M302" s="111"/>
      <c r="N302" s="112"/>
      <c r="O302" s="235"/>
      <c r="P302" s="68"/>
      <c r="R302" t="str">
        <f t="shared" si="37"/>
        <v/>
      </c>
      <c r="S302" t="str">
        <f t="shared" si="38"/>
        <v/>
      </c>
      <c r="T302" t="str">
        <f t="shared" si="39"/>
        <v/>
      </c>
      <c r="AD302" t="s">
        <v>1999</v>
      </c>
      <c r="AE302" t="s">
        <v>2000</v>
      </c>
      <c r="AF302" t="str">
        <f t="shared" si="43"/>
        <v>A679077</v>
      </c>
      <c r="AG302" t="str">
        <f>VLOOKUP(AF302,AKT!$C$4:$E$324,3,FALSE)</f>
        <v>0942</v>
      </c>
    </row>
    <row r="303" spans="1:33">
      <c r="A303" s="69"/>
      <c r="B303" s="64" t="str">
        <f t="shared" si="40"/>
        <v/>
      </c>
      <c r="C303" s="69"/>
      <c r="D303" s="64" t="str">
        <f t="shared" si="41"/>
        <v/>
      </c>
      <c r="E303" s="102"/>
      <c r="F303" s="64" t="str">
        <f t="shared" si="44"/>
        <v/>
      </c>
      <c r="G303" s="64" t="str">
        <f t="shared" si="42"/>
        <v/>
      </c>
      <c r="H303" s="101"/>
      <c r="I303" s="101"/>
      <c r="J303" s="101"/>
      <c r="K303" s="112"/>
      <c r="L303" s="111"/>
      <c r="M303" s="111"/>
      <c r="N303" s="112"/>
      <c r="O303" s="235"/>
      <c r="P303" s="68"/>
      <c r="R303" t="str">
        <f t="shared" si="37"/>
        <v/>
      </c>
      <c r="S303" t="str">
        <f t="shared" si="38"/>
        <v/>
      </c>
      <c r="T303" t="str">
        <f t="shared" si="39"/>
        <v/>
      </c>
      <c r="AD303" t="s">
        <v>2001</v>
      </c>
      <c r="AE303" t="s">
        <v>2002</v>
      </c>
      <c r="AF303" t="str">
        <f t="shared" si="43"/>
        <v>A679077</v>
      </c>
      <c r="AG303" t="str">
        <f>VLOOKUP(AF303,AKT!$C$4:$E$324,3,FALSE)</f>
        <v>0942</v>
      </c>
    </row>
    <row r="304" spans="1:33">
      <c r="A304" s="69"/>
      <c r="B304" s="64" t="str">
        <f t="shared" si="40"/>
        <v/>
      </c>
      <c r="C304" s="69"/>
      <c r="D304" s="64" t="str">
        <f t="shared" si="41"/>
        <v/>
      </c>
      <c r="E304" s="102"/>
      <c r="F304" s="64" t="str">
        <f t="shared" si="44"/>
        <v/>
      </c>
      <c r="G304" s="64" t="str">
        <f t="shared" si="42"/>
        <v/>
      </c>
      <c r="H304" s="101"/>
      <c r="I304" s="101"/>
      <c r="J304" s="101"/>
      <c r="K304" s="112"/>
      <c r="L304" s="111"/>
      <c r="M304" s="111"/>
      <c r="N304" s="112"/>
      <c r="O304" s="235"/>
      <c r="P304" s="68"/>
      <c r="R304" t="str">
        <f t="shared" si="37"/>
        <v/>
      </c>
      <c r="S304" t="str">
        <f t="shared" si="38"/>
        <v/>
      </c>
      <c r="T304" t="str">
        <f t="shared" si="39"/>
        <v/>
      </c>
      <c r="AD304" t="s">
        <v>2003</v>
      </c>
      <c r="AE304" t="s">
        <v>2004</v>
      </c>
      <c r="AF304" t="str">
        <f t="shared" si="43"/>
        <v>A679077</v>
      </c>
      <c r="AG304" t="str">
        <f>VLOOKUP(AF304,AKT!$C$4:$E$324,3,FALSE)</f>
        <v>0942</v>
      </c>
    </row>
    <row r="305" spans="1:33">
      <c r="A305" s="69"/>
      <c r="B305" s="64" t="str">
        <f t="shared" si="40"/>
        <v/>
      </c>
      <c r="C305" s="69"/>
      <c r="D305" s="64" t="str">
        <f t="shared" si="41"/>
        <v/>
      </c>
      <c r="E305" s="102"/>
      <c r="F305" s="64" t="str">
        <f t="shared" si="44"/>
        <v/>
      </c>
      <c r="G305" s="64" t="str">
        <f t="shared" si="42"/>
        <v/>
      </c>
      <c r="H305" s="101"/>
      <c r="I305" s="101"/>
      <c r="J305" s="101"/>
      <c r="K305" s="112"/>
      <c r="L305" s="111"/>
      <c r="M305" s="111"/>
      <c r="N305" s="112"/>
      <c r="O305" s="235"/>
      <c r="P305" s="68"/>
      <c r="R305" t="str">
        <f t="shared" si="37"/>
        <v/>
      </c>
      <c r="S305" t="str">
        <f t="shared" si="38"/>
        <v/>
      </c>
      <c r="T305" t="str">
        <f t="shared" si="39"/>
        <v/>
      </c>
      <c r="AD305" t="s">
        <v>2005</v>
      </c>
      <c r="AE305" t="s">
        <v>2006</v>
      </c>
      <c r="AF305" t="str">
        <f t="shared" si="43"/>
        <v>A679077</v>
      </c>
      <c r="AG305" t="str">
        <f>VLOOKUP(AF305,AKT!$C$4:$E$324,3,FALSE)</f>
        <v>0942</v>
      </c>
    </row>
    <row r="306" spans="1:33">
      <c r="A306" s="69"/>
      <c r="B306" s="64" t="str">
        <f t="shared" si="40"/>
        <v/>
      </c>
      <c r="C306" s="69"/>
      <c r="D306" s="64" t="str">
        <f t="shared" si="41"/>
        <v/>
      </c>
      <c r="E306" s="102"/>
      <c r="F306" s="64" t="str">
        <f t="shared" si="44"/>
        <v/>
      </c>
      <c r="G306" s="64" t="str">
        <f t="shared" si="42"/>
        <v/>
      </c>
      <c r="H306" s="101"/>
      <c r="I306" s="101"/>
      <c r="J306" s="101"/>
      <c r="K306" s="112"/>
      <c r="L306" s="111"/>
      <c r="M306" s="111"/>
      <c r="N306" s="112"/>
      <c r="O306" s="235"/>
      <c r="P306" s="68"/>
      <c r="R306" t="str">
        <f t="shared" si="37"/>
        <v/>
      </c>
      <c r="S306" t="str">
        <f t="shared" si="38"/>
        <v/>
      </c>
      <c r="T306" t="str">
        <f t="shared" si="39"/>
        <v/>
      </c>
      <c r="AD306" t="s">
        <v>2007</v>
      </c>
      <c r="AE306" t="s">
        <v>2008</v>
      </c>
      <c r="AF306" t="str">
        <f t="shared" si="43"/>
        <v>A679077</v>
      </c>
      <c r="AG306" t="str">
        <f>VLOOKUP(AF306,AKT!$C$4:$E$324,3,FALSE)</f>
        <v>0942</v>
      </c>
    </row>
    <row r="307" spans="1:33">
      <c r="A307" s="69"/>
      <c r="B307" s="64" t="str">
        <f t="shared" si="40"/>
        <v/>
      </c>
      <c r="C307" s="69"/>
      <c r="D307" s="64" t="str">
        <f t="shared" si="41"/>
        <v/>
      </c>
      <c r="E307" s="102"/>
      <c r="F307" s="64" t="str">
        <f t="shared" si="44"/>
        <v/>
      </c>
      <c r="G307" s="64" t="str">
        <f t="shared" si="42"/>
        <v/>
      </c>
      <c r="H307" s="101"/>
      <c r="I307" s="101"/>
      <c r="J307" s="101"/>
      <c r="K307" s="112"/>
      <c r="L307" s="111"/>
      <c r="M307" s="111"/>
      <c r="N307" s="112"/>
      <c r="O307" s="235"/>
      <c r="P307" s="68"/>
      <c r="R307" t="str">
        <f t="shared" si="37"/>
        <v/>
      </c>
      <c r="S307" t="str">
        <f t="shared" si="38"/>
        <v/>
      </c>
      <c r="T307" t="str">
        <f t="shared" si="39"/>
        <v/>
      </c>
      <c r="AD307" t="s">
        <v>2009</v>
      </c>
      <c r="AE307" t="s">
        <v>2010</v>
      </c>
      <c r="AF307" t="str">
        <f t="shared" si="43"/>
        <v>A679077</v>
      </c>
      <c r="AG307" t="str">
        <f>VLOOKUP(AF307,AKT!$C$4:$E$324,3,FALSE)</f>
        <v>0942</v>
      </c>
    </row>
    <row r="308" spans="1:33">
      <c r="A308" s="69"/>
      <c r="B308" s="64" t="str">
        <f t="shared" si="40"/>
        <v/>
      </c>
      <c r="C308" s="69"/>
      <c r="D308" s="64" t="str">
        <f t="shared" si="41"/>
        <v/>
      </c>
      <c r="E308" s="102"/>
      <c r="F308" s="64" t="str">
        <f t="shared" si="44"/>
        <v/>
      </c>
      <c r="G308" s="64" t="str">
        <f t="shared" si="42"/>
        <v/>
      </c>
      <c r="H308" s="101"/>
      <c r="I308" s="101"/>
      <c r="J308" s="101"/>
      <c r="K308" s="112"/>
      <c r="L308" s="111"/>
      <c r="M308" s="111"/>
      <c r="N308" s="112"/>
      <c r="O308" s="235"/>
      <c r="P308" s="68"/>
      <c r="R308" t="str">
        <f t="shared" si="37"/>
        <v/>
      </c>
      <c r="S308" t="str">
        <f t="shared" si="38"/>
        <v/>
      </c>
      <c r="T308" t="str">
        <f t="shared" si="39"/>
        <v/>
      </c>
      <c r="AD308" t="s">
        <v>2011</v>
      </c>
      <c r="AE308" t="s">
        <v>2012</v>
      </c>
      <c r="AF308" t="str">
        <f t="shared" si="43"/>
        <v>A679077</v>
      </c>
      <c r="AG308" t="str">
        <f>VLOOKUP(AF308,AKT!$C$4:$E$324,3,FALSE)</f>
        <v>0942</v>
      </c>
    </row>
    <row r="309" spans="1:33">
      <c r="A309" s="69"/>
      <c r="B309" s="64" t="str">
        <f t="shared" si="40"/>
        <v/>
      </c>
      <c r="C309" s="69"/>
      <c r="D309" s="64" t="str">
        <f t="shared" si="41"/>
        <v/>
      </c>
      <c r="E309" s="102"/>
      <c r="F309" s="64" t="str">
        <f t="shared" si="44"/>
        <v/>
      </c>
      <c r="G309" s="64" t="str">
        <f t="shared" si="42"/>
        <v/>
      </c>
      <c r="H309" s="101"/>
      <c r="I309" s="101"/>
      <c r="J309" s="101"/>
      <c r="K309" s="112"/>
      <c r="L309" s="111"/>
      <c r="M309" s="111"/>
      <c r="N309" s="112"/>
      <c r="O309" s="235"/>
      <c r="P309" s="68"/>
      <c r="R309" t="str">
        <f t="shared" si="37"/>
        <v/>
      </c>
      <c r="S309" t="str">
        <f t="shared" si="38"/>
        <v/>
      </c>
      <c r="T309" t="str">
        <f t="shared" si="39"/>
        <v/>
      </c>
      <c r="AD309" t="s">
        <v>2013</v>
      </c>
      <c r="AE309" t="s">
        <v>2014</v>
      </c>
      <c r="AF309" t="str">
        <f t="shared" si="43"/>
        <v>A679077</v>
      </c>
      <c r="AG309" t="str">
        <f>VLOOKUP(AF309,AKT!$C$4:$E$324,3,FALSE)</f>
        <v>0942</v>
      </c>
    </row>
    <row r="310" spans="1:33">
      <c r="A310" s="69"/>
      <c r="B310" s="64" t="str">
        <f t="shared" si="40"/>
        <v/>
      </c>
      <c r="C310" s="69"/>
      <c r="D310" s="64" t="str">
        <f t="shared" si="41"/>
        <v/>
      </c>
      <c r="E310" s="102"/>
      <c r="F310" s="64" t="str">
        <f t="shared" si="44"/>
        <v/>
      </c>
      <c r="G310" s="64" t="str">
        <f t="shared" si="42"/>
        <v/>
      </c>
      <c r="H310" s="101"/>
      <c r="I310" s="101"/>
      <c r="J310" s="101"/>
      <c r="K310" s="112"/>
      <c r="L310" s="111"/>
      <c r="M310" s="111"/>
      <c r="N310" s="112"/>
      <c r="O310" s="235"/>
      <c r="P310" s="68"/>
      <c r="R310" t="str">
        <f t="shared" si="37"/>
        <v/>
      </c>
      <c r="S310" t="str">
        <f t="shared" si="38"/>
        <v/>
      </c>
      <c r="T310" t="str">
        <f t="shared" si="39"/>
        <v/>
      </c>
      <c r="AD310" t="s">
        <v>2015</v>
      </c>
      <c r="AE310" t="s">
        <v>2016</v>
      </c>
      <c r="AF310" t="str">
        <f t="shared" si="43"/>
        <v>A679077</v>
      </c>
      <c r="AG310" t="str">
        <f>VLOOKUP(AF310,AKT!$C$4:$E$324,3,FALSE)</f>
        <v>0942</v>
      </c>
    </row>
    <row r="311" spans="1:33">
      <c r="A311" s="69"/>
      <c r="B311" s="64" t="str">
        <f t="shared" si="40"/>
        <v/>
      </c>
      <c r="C311" s="69"/>
      <c r="D311" s="64" t="str">
        <f t="shared" si="41"/>
        <v/>
      </c>
      <c r="E311" s="102"/>
      <c r="F311" s="64" t="str">
        <f t="shared" si="44"/>
        <v/>
      </c>
      <c r="G311" s="64" t="str">
        <f t="shared" si="42"/>
        <v/>
      </c>
      <c r="H311" s="101"/>
      <c r="I311" s="101"/>
      <c r="J311" s="101"/>
      <c r="K311" s="112"/>
      <c r="L311" s="111"/>
      <c r="M311" s="111"/>
      <c r="N311" s="112"/>
      <c r="O311" s="235"/>
      <c r="P311" s="68"/>
      <c r="R311" t="str">
        <f t="shared" si="37"/>
        <v/>
      </c>
      <c r="S311" t="str">
        <f t="shared" si="38"/>
        <v/>
      </c>
      <c r="T311" t="str">
        <f t="shared" si="39"/>
        <v/>
      </c>
      <c r="AD311" t="s">
        <v>2017</v>
      </c>
      <c r="AE311" t="s">
        <v>2016</v>
      </c>
      <c r="AF311" t="str">
        <f t="shared" si="43"/>
        <v>A679077</v>
      </c>
      <c r="AG311" t="str">
        <f>VLOOKUP(AF311,AKT!$C$4:$E$324,3,FALSE)</f>
        <v>0942</v>
      </c>
    </row>
    <row r="312" spans="1:33">
      <c r="A312" s="69"/>
      <c r="B312" s="64" t="str">
        <f t="shared" si="40"/>
        <v/>
      </c>
      <c r="C312" s="69"/>
      <c r="D312" s="64" t="str">
        <f t="shared" si="41"/>
        <v/>
      </c>
      <c r="E312" s="102"/>
      <c r="F312" s="64" t="str">
        <f t="shared" si="44"/>
        <v/>
      </c>
      <c r="G312" s="64" t="str">
        <f t="shared" si="42"/>
        <v/>
      </c>
      <c r="H312" s="101"/>
      <c r="I312" s="101"/>
      <c r="J312" s="101"/>
      <c r="K312" s="112"/>
      <c r="L312" s="111"/>
      <c r="M312" s="111"/>
      <c r="N312" s="112"/>
      <c r="O312" s="235"/>
      <c r="P312" s="68"/>
      <c r="R312" t="str">
        <f t="shared" si="37"/>
        <v/>
      </c>
      <c r="S312" t="str">
        <f t="shared" si="38"/>
        <v/>
      </c>
      <c r="T312" t="str">
        <f t="shared" si="39"/>
        <v/>
      </c>
      <c r="AD312" t="s">
        <v>2018</v>
      </c>
      <c r="AE312" t="s">
        <v>2019</v>
      </c>
      <c r="AF312" t="str">
        <f t="shared" si="43"/>
        <v>A679077</v>
      </c>
      <c r="AG312" t="str">
        <f>VLOOKUP(AF312,AKT!$C$4:$E$324,3,FALSE)</f>
        <v>0942</v>
      </c>
    </row>
    <row r="313" spans="1:33">
      <c r="A313" s="69"/>
      <c r="B313" s="64" t="str">
        <f t="shared" si="40"/>
        <v/>
      </c>
      <c r="C313" s="69"/>
      <c r="D313" s="64" t="str">
        <f t="shared" si="41"/>
        <v/>
      </c>
      <c r="E313" s="102"/>
      <c r="F313" s="64" t="str">
        <f t="shared" si="44"/>
        <v/>
      </c>
      <c r="G313" s="64" t="str">
        <f t="shared" si="42"/>
        <v/>
      </c>
      <c r="H313" s="101"/>
      <c r="I313" s="101"/>
      <c r="J313" s="101"/>
      <c r="K313" s="112"/>
      <c r="L313" s="111"/>
      <c r="M313" s="111"/>
      <c r="N313" s="112"/>
      <c r="O313" s="235"/>
      <c r="P313" s="68"/>
      <c r="R313" t="str">
        <f t="shared" si="37"/>
        <v/>
      </c>
      <c r="S313" t="str">
        <f t="shared" si="38"/>
        <v/>
      </c>
      <c r="T313" t="str">
        <f t="shared" si="39"/>
        <v/>
      </c>
      <c r="AD313" t="s">
        <v>2020</v>
      </c>
      <c r="AE313" t="s">
        <v>2019</v>
      </c>
      <c r="AF313" t="str">
        <f t="shared" si="43"/>
        <v>A679077</v>
      </c>
      <c r="AG313" t="str">
        <f>VLOOKUP(AF313,AKT!$C$4:$E$324,3,FALSE)</f>
        <v>0942</v>
      </c>
    </row>
    <row r="314" spans="1:33">
      <c r="A314" s="69"/>
      <c r="B314" s="64" t="str">
        <f t="shared" si="40"/>
        <v/>
      </c>
      <c r="C314" s="69"/>
      <c r="D314" s="64" t="str">
        <f t="shared" si="41"/>
        <v/>
      </c>
      <c r="E314" s="102"/>
      <c r="F314" s="64" t="str">
        <f t="shared" si="44"/>
        <v/>
      </c>
      <c r="G314" s="64" t="str">
        <f t="shared" si="42"/>
        <v/>
      </c>
      <c r="H314" s="101"/>
      <c r="I314" s="101"/>
      <c r="J314" s="101"/>
      <c r="K314" s="112"/>
      <c r="L314" s="111"/>
      <c r="M314" s="111"/>
      <c r="N314" s="112"/>
      <c r="O314" s="235"/>
      <c r="P314" s="68"/>
      <c r="R314" t="str">
        <f t="shared" si="37"/>
        <v/>
      </c>
      <c r="S314" t="str">
        <f t="shared" si="38"/>
        <v/>
      </c>
      <c r="T314" t="str">
        <f t="shared" si="39"/>
        <v/>
      </c>
      <c r="AD314" t="s">
        <v>2021</v>
      </c>
      <c r="AE314" t="s">
        <v>2022</v>
      </c>
      <c r="AF314" t="str">
        <f t="shared" si="43"/>
        <v>A679077</v>
      </c>
      <c r="AG314" t="str">
        <f>VLOOKUP(AF314,AKT!$C$4:$E$324,3,FALSE)</f>
        <v>0942</v>
      </c>
    </row>
    <row r="315" spans="1:33">
      <c r="A315" s="69"/>
      <c r="B315" s="64" t="str">
        <f t="shared" si="40"/>
        <v/>
      </c>
      <c r="C315" s="69"/>
      <c r="D315" s="64" t="str">
        <f t="shared" si="41"/>
        <v/>
      </c>
      <c r="E315" s="102"/>
      <c r="F315" s="64" t="str">
        <f t="shared" si="44"/>
        <v/>
      </c>
      <c r="G315" s="64" t="str">
        <f t="shared" si="42"/>
        <v/>
      </c>
      <c r="H315" s="101"/>
      <c r="I315" s="101"/>
      <c r="J315" s="101"/>
      <c r="K315" s="112"/>
      <c r="L315" s="111"/>
      <c r="M315" s="111"/>
      <c r="N315" s="112"/>
      <c r="O315" s="235"/>
      <c r="P315" s="68"/>
      <c r="R315" t="str">
        <f t="shared" si="37"/>
        <v/>
      </c>
      <c r="S315" t="str">
        <f t="shared" si="38"/>
        <v/>
      </c>
      <c r="T315" t="str">
        <f t="shared" si="39"/>
        <v/>
      </c>
      <c r="AD315" t="s">
        <v>2023</v>
      </c>
      <c r="AE315" t="s">
        <v>2024</v>
      </c>
      <c r="AF315" t="str">
        <f t="shared" si="43"/>
        <v>A679077</v>
      </c>
      <c r="AG315" t="str">
        <f>VLOOKUP(AF315,AKT!$C$4:$E$324,3,FALSE)</f>
        <v>0942</v>
      </c>
    </row>
    <row r="316" spans="1:33">
      <c r="A316" s="69"/>
      <c r="B316" s="64" t="str">
        <f t="shared" si="40"/>
        <v/>
      </c>
      <c r="C316" s="69"/>
      <c r="D316" s="64" t="str">
        <f t="shared" si="41"/>
        <v/>
      </c>
      <c r="E316" s="102"/>
      <c r="F316" s="64" t="str">
        <f t="shared" si="44"/>
        <v/>
      </c>
      <c r="G316" s="64" t="str">
        <f t="shared" si="42"/>
        <v/>
      </c>
      <c r="H316" s="101"/>
      <c r="I316" s="101"/>
      <c r="J316" s="101"/>
      <c r="K316" s="112"/>
      <c r="L316" s="111"/>
      <c r="M316" s="111"/>
      <c r="N316" s="112"/>
      <c r="O316" s="235"/>
      <c r="P316" s="68"/>
      <c r="R316" t="str">
        <f t="shared" si="37"/>
        <v/>
      </c>
      <c r="S316" t="str">
        <f t="shared" si="38"/>
        <v/>
      </c>
      <c r="T316" t="str">
        <f t="shared" si="39"/>
        <v/>
      </c>
      <c r="AD316" t="s">
        <v>2025</v>
      </c>
      <c r="AE316" t="s">
        <v>2026</v>
      </c>
      <c r="AF316" t="str">
        <f t="shared" si="43"/>
        <v>A679077</v>
      </c>
      <c r="AG316" t="str">
        <f>VLOOKUP(AF316,AKT!$C$4:$E$324,3,FALSE)</f>
        <v>0942</v>
      </c>
    </row>
    <row r="317" spans="1:33">
      <c r="A317" s="69"/>
      <c r="B317" s="64" t="str">
        <f t="shared" si="40"/>
        <v/>
      </c>
      <c r="C317" s="69"/>
      <c r="D317" s="64" t="str">
        <f t="shared" si="41"/>
        <v/>
      </c>
      <c r="E317" s="102"/>
      <c r="F317" s="64" t="str">
        <f t="shared" si="44"/>
        <v/>
      </c>
      <c r="G317" s="64" t="str">
        <f t="shared" si="42"/>
        <v/>
      </c>
      <c r="H317" s="101"/>
      <c r="I317" s="101"/>
      <c r="J317" s="101"/>
      <c r="K317" s="112"/>
      <c r="L317" s="111"/>
      <c r="M317" s="111"/>
      <c r="N317" s="112"/>
      <c r="O317" s="235"/>
      <c r="P317" s="68"/>
      <c r="R317" t="str">
        <f t="shared" si="37"/>
        <v/>
      </c>
      <c r="S317" t="str">
        <f t="shared" si="38"/>
        <v/>
      </c>
      <c r="T317" t="str">
        <f t="shared" si="39"/>
        <v/>
      </c>
      <c r="AD317" t="s">
        <v>2027</v>
      </c>
      <c r="AE317" t="s">
        <v>2028</v>
      </c>
      <c r="AF317" t="str">
        <f t="shared" si="43"/>
        <v>A679077</v>
      </c>
      <c r="AG317" t="str">
        <f>VLOOKUP(AF317,AKT!$C$4:$E$324,3,FALSE)</f>
        <v>0942</v>
      </c>
    </row>
    <row r="318" spans="1:33">
      <c r="A318" s="69"/>
      <c r="B318" s="64" t="str">
        <f t="shared" si="40"/>
        <v/>
      </c>
      <c r="C318" s="69"/>
      <c r="D318" s="64" t="str">
        <f t="shared" si="41"/>
        <v/>
      </c>
      <c r="E318" s="102"/>
      <c r="F318" s="64" t="str">
        <f t="shared" si="44"/>
        <v/>
      </c>
      <c r="G318" s="64" t="str">
        <f t="shared" si="42"/>
        <v/>
      </c>
      <c r="H318" s="101"/>
      <c r="I318" s="101"/>
      <c r="J318" s="101"/>
      <c r="K318" s="112"/>
      <c r="L318" s="111"/>
      <c r="M318" s="111"/>
      <c r="N318" s="112"/>
      <c r="O318" s="235"/>
      <c r="P318" s="68"/>
      <c r="R318" t="str">
        <f t="shared" si="37"/>
        <v/>
      </c>
      <c r="S318" t="str">
        <f t="shared" si="38"/>
        <v/>
      </c>
      <c r="T318" t="str">
        <f t="shared" si="39"/>
        <v/>
      </c>
      <c r="AD318" t="s">
        <v>2029</v>
      </c>
      <c r="AE318" t="s">
        <v>2030</v>
      </c>
      <c r="AF318" t="str">
        <f t="shared" si="43"/>
        <v>A679077</v>
      </c>
      <c r="AG318" t="str">
        <f>VLOOKUP(AF318,AKT!$C$4:$E$324,3,FALSE)</f>
        <v>0942</v>
      </c>
    </row>
    <row r="319" spans="1:33">
      <c r="A319" s="69"/>
      <c r="B319" s="64" t="str">
        <f t="shared" si="40"/>
        <v/>
      </c>
      <c r="C319" s="69"/>
      <c r="D319" s="64" t="str">
        <f t="shared" si="41"/>
        <v/>
      </c>
      <c r="E319" s="102"/>
      <c r="F319" s="64" t="str">
        <f t="shared" si="44"/>
        <v/>
      </c>
      <c r="G319" s="64" t="str">
        <f t="shared" si="42"/>
        <v/>
      </c>
      <c r="H319" s="101"/>
      <c r="I319" s="101"/>
      <c r="J319" s="101"/>
      <c r="K319" s="112"/>
      <c r="L319" s="111"/>
      <c r="M319" s="111"/>
      <c r="N319" s="112"/>
      <c r="O319" s="235"/>
      <c r="P319" s="68"/>
      <c r="R319" t="str">
        <f t="shared" ref="R319:R382" si="45">LEFT(C319,3)</f>
        <v/>
      </c>
      <c r="S319" t="str">
        <f t="shared" ref="S319:S382" si="46">LEFT(C319,2)</f>
        <v/>
      </c>
      <c r="T319" t="str">
        <f t="shared" ref="T319:T382" si="47">MID(G319,2,2)</f>
        <v/>
      </c>
      <c r="AD319" t="s">
        <v>2031</v>
      </c>
      <c r="AE319" t="s">
        <v>2032</v>
      </c>
      <c r="AF319" t="str">
        <f t="shared" si="43"/>
        <v>A679077</v>
      </c>
      <c r="AG319" t="str">
        <f>VLOOKUP(AF319,AKT!$C$4:$E$324,3,FALSE)</f>
        <v>0942</v>
      </c>
    </row>
    <row r="320" spans="1:33">
      <c r="A320" s="69"/>
      <c r="B320" s="64" t="str">
        <f t="shared" si="40"/>
        <v/>
      </c>
      <c r="C320" s="69"/>
      <c r="D320" s="64" t="str">
        <f t="shared" si="41"/>
        <v/>
      </c>
      <c r="E320" s="102"/>
      <c r="F320" s="64" t="str">
        <f t="shared" si="44"/>
        <v/>
      </c>
      <c r="G320" s="64" t="str">
        <f t="shared" si="42"/>
        <v/>
      </c>
      <c r="H320" s="101"/>
      <c r="I320" s="101"/>
      <c r="J320" s="101"/>
      <c r="K320" s="112"/>
      <c r="L320" s="111"/>
      <c r="M320" s="111"/>
      <c r="N320" s="112"/>
      <c r="O320" s="235"/>
      <c r="P320" s="68"/>
      <c r="R320" t="str">
        <f t="shared" si="45"/>
        <v/>
      </c>
      <c r="S320" t="str">
        <f t="shared" si="46"/>
        <v/>
      </c>
      <c r="T320" t="str">
        <f t="shared" si="47"/>
        <v/>
      </c>
      <c r="AD320" t="s">
        <v>2033</v>
      </c>
      <c r="AE320" t="s">
        <v>2034</v>
      </c>
      <c r="AF320" t="str">
        <f t="shared" si="43"/>
        <v>A679077</v>
      </c>
      <c r="AG320" t="str">
        <f>VLOOKUP(AF320,AKT!$C$4:$E$324,3,FALSE)</f>
        <v>0942</v>
      </c>
    </row>
    <row r="321" spans="1:33">
      <c r="A321" s="69"/>
      <c r="B321" s="64" t="str">
        <f t="shared" si="40"/>
        <v/>
      </c>
      <c r="C321" s="69"/>
      <c r="D321" s="64" t="str">
        <f t="shared" si="41"/>
        <v/>
      </c>
      <c r="E321" s="102"/>
      <c r="F321" s="64" t="str">
        <f t="shared" si="44"/>
        <v/>
      </c>
      <c r="G321" s="64" t="str">
        <f t="shared" si="42"/>
        <v/>
      </c>
      <c r="H321" s="101"/>
      <c r="I321" s="101"/>
      <c r="J321" s="101"/>
      <c r="K321" s="112"/>
      <c r="L321" s="111"/>
      <c r="M321" s="111"/>
      <c r="N321" s="112"/>
      <c r="O321" s="235"/>
      <c r="P321" s="68"/>
      <c r="R321" t="str">
        <f t="shared" si="45"/>
        <v/>
      </c>
      <c r="S321" t="str">
        <f t="shared" si="46"/>
        <v/>
      </c>
      <c r="T321" t="str">
        <f t="shared" si="47"/>
        <v/>
      </c>
      <c r="AD321" t="s">
        <v>2035</v>
      </c>
      <c r="AE321" t="s">
        <v>2036</v>
      </c>
      <c r="AF321" t="str">
        <f t="shared" si="43"/>
        <v>A679077</v>
      </c>
      <c r="AG321" t="str">
        <f>VLOOKUP(AF321,AKT!$C$4:$E$324,3,FALSE)</f>
        <v>0942</v>
      </c>
    </row>
    <row r="322" spans="1:33">
      <c r="A322" s="69"/>
      <c r="B322" s="64" t="str">
        <f t="shared" si="40"/>
        <v/>
      </c>
      <c r="C322" s="69"/>
      <c r="D322" s="64" t="str">
        <f t="shared" si="41"/>
        <v/>
      </c>
      <c r="E322" s="102"/>
      <c r="F322" s="64" t="str">
        <f t="shared" si="44"/>
        <v/>
      </c>
      <c r="G322" s="64" t="str">
        <f t="shared" si="42"/>
        <v/>
      </c>
      <c r="H322" s="101"/>
      <c r="I322" s="101"/>
      <c r="J322" s="101"/>
      <c r="K322" s="112"/>
      <c r="L322" s="111"/>
      <c r="M322" s="111"/>
      <c r="N322" s="112"/>
      <c r="O322" s="235"/>
      <c r="P322" s="68"/>
      <c r="R322" t="str">
        <f t="shared" si="45"/>
        <v/>
      </c>
      <c r="S322" t="str">
        <f t="shared" si="46"/>
        <v/>
      </c>
      <c r="T322" t="str">
        <f t="shared" si="47"/>
        <v/>
      </c>
      <c r="AD322" t="s">
        <v>2037</v>
      </c>
      <c r="AE322" t="s">
        <v>2038</v>
      </c>
      <c r="AF322" t="str">
        <f t="shared" si="43"/>
        <v>A679077</v>
      </c>
      <c r="AG322" t="str">
        <f>VLOOKUP(AF322,AKT!$C$4:$E$324,3,FALSE)</f>
        <v>0942</v>
      </c>
    </row>
    <row r="323" spans="1:33">
      <c r="A323" s="69"/>
      <c r="B323" s="64" t="str">
        <f t="shared" ref="B323:B386" si="48">IFERROR(VLOOKUP(A323,$U$6:$V$23,2,FALSE),"")</f>
        <v/>
      </c>
      <c r="C323" s="69"/>
      <c r="D323" s="64" t="str">
        <f t="shared" ref="D323:D386" si="49">IFERROR(VLOOKUP(C323,$X$5:$Z$124,2,FALSE),"")</f>
        <v/>
      </c>
      <c r="E323" s="102"/>
      <c r="F323" s="64" t="str">
        <f t="shared" si="44"/>
        <v/>
      </c>
      <c r="G323" s="64" t="str">
        <f t="shared" ref="G323:G386" si="50">IFERROR(VLOOKUP(E323,$AD$6:$AG$1085,4,FALSE),"")</f>
        <v/>
      </c>
      <c r="H323" s="101"/>
      <c r="I323" s="101"/>
      <c r="J323" s="101"/>
      <c r="K323" s="112"/>
      <c r="L323" s="111"/>
      <c r="M323" s="111"/>
      <c r="N323" s="112"/>
      <c r="O323" s="235"/>
      <c r="P323" s="68"/>
      <c r="R323" t="str">
        <f t="shared" si="45"/>
        <v/>
      </c>
      <c r="S323" t="str">
        <f t="shared" si="46"/>
        <v/>
      </c>
      <c r="T323" t="str">
        <f t="shared" si="47"/>
        <v/>
      </c>
      <c r="AD323" t="s">
        <v>2039</v>
      </c>
      <c r="AE323" t="s">
        <v>2040</v>
      </c>
      <c r="AF323" t="str">
        <f t="shared" ref="AF323:AF386" si="51">LEFT(AD323,7)</f>
        <v>A679077</v>
      </c>
      <c r="AG323" t="str">
        <f>VLOOKUP(AF323,AKT!$C$4:$E$324,3,FALSE)</f>
        <v>0942</v>
      </c>
    </row>
    <row r="324" spans="1:33">
      <c r="A324" s="69"/>
      <c r="B324" s="64" t="str">
        <f t="shared" si="48"/>
        <v/>
      </c>
      <c r="C324" s="69"/>
      <c r="D324" s="64" t="str">
        <f t="shared" si="49"/>
        <v/>
      </c>
      <c r="E324" s="102"/>
      <c r="F324" s="64" t="str">
        <f t="shared" si="44"/>
        <v/>
      </c>
      <c r="G324" s="64" t="str">
        <f t="shared" si="50"/>
        <v/>
      </c>
      <c r="H324" s="101"/>
      <c r="I324" s="101"/>
      <c r="J324" s="101"/>
      <c r="K324" s="112"/>
      <c r="L324" s="111"/>
      <c r="M324" s="111"/>
      <c r="N324" s="112"/>
      <c r="O324" s="235"/>
      <c r="P324" s="68"/>
      <c r="R324" t="str">
        <f t="shared" si="45"/>
        <v/>
      </c>
      <c r="S324" t="str">
        <f t="shared" si="46"/>
        <v/>
      </c>
      <c r="T324" t="str">
        <f t="shared" si="47"/>
        <v/>
      </c>
      <c r="AD324" t="s">
        <v>2041</v>
      </c>
      <c r="AE324" t="s">
        <v>2042</v>
      </c>
      <c r="AF324" t="str">
        <f t="shared" si="51"/>
        <v>A679077</v>
      </c>
      <c r="AG324" t="str">
        <f>VLOOKUP(AF324,AKT!$C$4:$E$324,3,FALSE)</f>
        <v>0942</v>
      </c>
    </row>
    <row r="325" spans="1:33">
      <c r="A325" s="69"/>
      <c r="B325" s="64" t="str">
        <f t="shared" si="48"/>
        <v/>
      </c>
      <c r="C325" s="69"/>
      <c r="D325" s="64" t="str">
        <f t="shared" si="49"/>
        <v/>
      </c>
      <c r="E325" s="102"/>
      <c r="F325" s="64" t="str">
        <f t="shared" si="44"/>
        <v/>
      </c>
      <c r="G325" s="64" t="str">
        <f t="shared" si="50"/>
        <v/>
      </c>
      <c r="H325" s="101"/>
      <c r="I325" s="101"/>
      <c r="J325" s="101"/>
      <c r="K325" s="112"/>
      <c r="L325" s="111"/>
      <c r="M325" s="111"/>
      <c r="N325" s="112"/>
      <c r="O325" s="235"/>
      <c r="P325" s="68"/>
      <c r="R325" t="str">
        <f t="shared" si="45"/>
        <v/>
      </c>
      <c r="S325" t="str">
        <f t="shared" si="46"/>
        <v/>
      </c>
      <c r="T325" t="str">
        <f t="shared" si="47"/>
        <v/>
      </c>
      <c r="AD325" t="s">
        <v>2043</v>
      </c>
      <c r="AE325" t="s">
        <v>2044</v>
      </c>
      <c r="AF325" t="str">
        <f t="shared" si="51"/>
        <v>A679077</v>
      </c>
      <c r="AG325" t="str">
        <f>VLOOKUP(AF325,AKT!$C$4:$E$324,3,FALSE)</f>
        <v>0942</v>
      </c>
    </row>
    <row r="326" spans="1:33">
      <c r="A326" s="69"/>
      <c r="B326" s="64" t="str">
        <f t="shared" si="48"/>
        <v/>
      </c>
      <c r="C326" s="69"/>
      <c r="D326" s="64" t="str">
        <f t="shared" si="49"/>
        <v/>
      </c>
      <c r="E326" s="102"/>
      <c r="F326" s="64" t="str">
        <f t="shared" si="44"/>
        <v/>
      </c>
      <c r="G326" s="64" t="str">
        <f t="shared" si="50"/>
        <v/>
      </c>
      <c r="H326" s="101"/>
      <c r="I326" s="101"/>
      <c r="J326" s="101"/>
      <c r="K326" s="112"/>
      <c r="L326" s="111"/>
      <c r="M326" s="111"/>
      <c r="N326" s="112"/>
      <c r="O326" s="235"/>
      <c r="P326" s="68"/>
      <c r="R326" t="str">
        <f t="shared" si="45"/>
        <v/>
      </c>
      <c r="S326" t="str">
        <f t="shared" si="46"/>
        <v/>
      </c>
      <c r="T326" t="str">
        <f t="shared" si="47"/>
        <v/>
      </c>
      <c r="AD326" t="s">
        <v>2045</v>
      </c>
      <c r="AE326" t="s">
        <v>2046</v>
      </c>
      <c r="AF326" t="str">
        <f t="shared" si="51"/>
        <v>A679077</v>
      </c>
      <c r="AG326" t="str">
        <f>VLOOKUP(AF326,AKT!$C$4:$E$324,3,FALSE)</f>
        <v>0942</v>
      </c>
    </row>
    <row r="327" spans="1:33">
      <c r="A327" s="69"/>
      <c r="B327" s="64" t="str">
        <f t="shared" si="48"/>
        <v/>
      </c>
      <c r="C327" s="69"/>
      <c r="D327" s="64" t="str">
        <f t="shared" si="49"/>
        <v/>
      </c>
      <c r="E327" s="102"/>
      <c r="F327" s="64" t="str">
        <f t="shared" si="44"/>
        <v/>
      </c>
      <c r="G327" s="64" t="str">
        <f t="shared" si="50"/>
        <v/>
      </c>
      <c r="H327" s="101"/>
      <c r="I327" s="101"/>
      <c r="J327" s="101"/>
      <c r="K327" s="112"/>
      <c r="L327" s="111"/>
      <c r="M327" s="111"/>
      <c r="N327" s="112"/>
      <c r="O327" s="235"/>
      <c r="P327" s="68"/>
      <c r="R327" t="str">
        <f t="shared" si="45"/>
        <v/>
      </c>
      <c r="S327" t="str">
        <f t="shared" si="46"/>
        <v/>
      </c>
      <c r="T327" t="str">
        <f t="shared" si="47"/>
        <v/>
      </c>
      <c r="AD327" t="s">
        <v>2047</v>
      </c>
      <c r="AE327" t="s">
        <v>2048</v>
      </c>
      <c r="AF327" t="str">
        <f t="shared" si="51"/>
        <v>A679077</v>
      </c>
      <c r="AG327" t="str">
        <f>VLOOKUP(AF327,AKT!$C$4:$E$324,3,FALSE)</f>
        <v>0942</v>
      </c>
    </row>
    <row r="328" spans="1:33">
      <c r="A328" s="69"/>
      <c r="B328" s="64" t="str">
        <f t="shared" si="48"/>
        <v/>
      </c>
      <c r="C328" s="69"/>
      <c r="D328" s="64" t="str">
        <f t="shared" si="49"/>
        <v/>
      </c>
      <c r="E328" s="102"/>
      <c r="F328" s="64" t="str">
        <f t="shared" si="44"/>
        <v/>
      </c>
      <c r="G328" s="64" t="str">
        <f t="shared" si="50"/>
        <v/>
      </c>
      <c r="H328" s="101"/>
      <c r="I328" s="101"/>
      <c r="J328" s="101"/>
      <c r="K328" s="112"/>
      <c r="L328" s="111"/>
      <c r="M328" s="111"/>
      <c r="N328" s="112"/>
      <c r="O328" s="235"/>
      <c r="P328" s="68"/>
      <c r="R328" t="str">
        <f t="shared" si="45"/>
        <v/>
      </c>
      <c r="S328" t="str">
        <f t="shared" si="46"/>
        <v/>
      </c>
      <c r="T328" t="str">
        <f t="shared" si="47"/>
        <v/>
      </c>
      <c r="AD328" t="s">
        <v>2049</v>
      </c>
      <c r="AE328" t="s">
        <v>2050</v>
      </c>
      <c r="AF328" t="str">
        <f t="shared" si="51"/>
        <v>A679077</v>
      </c>
      <c r="AG328" t="str">
        <f>VLOOKUP(AF328,AKT!$C$4:$E$324,3,FALSE)</f>
        <v>0942</v>
      </c>
    </row>
    <row r="329" spans="1:33">
      <c r="A329" s="69"/>
      <c r="B329" s="64" t="str">
        <f t="shared" si="48"/>
        <v/>
      </c>
      <c r="C329" s="69"/>
      <c r="D329" s="64" t="str">
        <f t="shared" si="49"/>
        <v/>
      </c>
      <c r="E329" s="102"/>
      <c r="F329" s="64" t="str">
        <f t="shared" si="44"/>
        <v/>
      </c>
      <c r="G329" s="64" t="str">
        <f t="shared" si="50"/>
        <v/>
      </c>
      <c r="H329" s="101"/>
      <c r="I329" s="101"/>
      <c r="J329" s="101"/>
      <c r="K329" s="112"/>
      <c r="L329" s="111"/>
      <c r="M329" s="111"/>
      <c r="N329" s="112"/>
      <c r="O329" s="235"/>
      <c r="P329" s="68"/>
      <c r="R329" t="str">
        <f t="shared" si="45"/>
        <v/>
      </c>
      <c r="S329" t="str">
        <f t="shared" si="46"/>
        <v/>
      </c>
      <c r="T329" t="str">
        <f t="shared" si="47"/>
        <v/>
      </c>
      <c r="AD329" t="s">
        <v>2051</v>
      </c>
      <c r="AE329" t="s">
        <v>2052</v>
      </c>
      <c r="AF329" t="str">
        <f t="shared" si="51"/>
        <v>A679077</v>
      </c>
      <c r="AG329" t="str">
        <f>VLOOKUP(AF329,AKT!$C$4:$E$324,3,FALSE)</f>
        <v>0942</v>
      </c>
    </row>
    <row r="330" spans="1:33">
      <c r="A330" s="69"/>
      <c r="B330" s="64" t="str">
        <f t="shared" si="48"/>
        <v/>
      </c>
      <c r="C330" s="69"/>
      <c r="D330" s="64" t="str">
        <f t="shared" si="49"/>
        <v/>
      </c>
      <c r="E330" s="102"/>
      <c r="F330" s="64" t="str">
        <f t="shared" si="44"/>
        <v/>
      </c>
      <c r="G330" s="64" t="str">
        <f t="shared" si="50"/>
        <v/>
      </c>
      <c r="H330" s="101"/>
      <c r="I330" s="101"/>
      <c r="J330" s="101"/>
      <c r="K330" s="112"/>
      <c r="L330" s="111"/>
      <c r="M330" s="111"/>
      <c r="N330" s="112"/>
      <c r="O330" s="235"/>
      <c r="P330" s="68"/>
      <c r="R330" t="str">
        <f t="shared" si="45"/>
        <v/>
      </c>
      <c r="S330" t="str">
        <f t="shared" si="46"/>
        <v/>
      </c>
      <c r="T330" t="str">
        <f t="shared" si="47"/>
        <v/>
      </c>
      <c r="AD330" t="s">
        <v>2053</v>
      </c>
      <c r="AE330" t="s">
        <v>2054</v>
      </c>
      <c r="AF330" t="str">
        <f t="shared" si="51"/>
        <v>A679077</v>
      </c>
      <c r="AG330" t="str">
        <f>VLOOKUP(AF330,AKT!$C$4:$E$324,3,FALSE)</f>
        <v>0942</v>
      </c>
    </row>
    <row r="331" spans="1:33">
      <c r="A331" s="69"/>
      <c r="B331" s="64" t="str">
        <f t="shared" si="48"/>
        <v/>
      </c>
      <c r="C331" s="69"/>
      <c r="D331" s="64" t="str">
        <f t="shared" si="49"/>
        <v/>
      </c>
      <c r="E331" s="102"/>
      <c r="F331" s="64" t="str">
        <f t="shared" si="44"/>
        <v/>
      </c>
      <c r="G331" s="64" t="str">
        <f t="shared" si="50"/>
        <v/>
      </c>
      <c r="H331" s="101"/>
      <c r="I331" s="101"/>
      <c r="J331" s="101"/>
      <c r="K331" s="112"/>
      <c r="L331" s="111"/>
      <c r="M331" s="111"/>
      <c r="N331" s="112"/>
      <c r="O331" s="235"/>
      <c r="P331" s="68"/>
      <c r="R331" t="str">
        <f t="shared" si="45"/>
        <v/>
      </c>
      <c r="S331" t="str">
        <f t="shared" si="46"/>
        <v/>
      </c>
      <c r="T331" t="str">
        <f t="shared" si="47"/>
        <v/>
      </c>
      <c r="AD331" t="s">
        <v>2055</v>
      </c>
      <c r="AE331" t="s">
        <v>2056</v>
      </c>
      <c r="AF331" t="str">
        <f t="shared" si="51"/>
        <v>A679077</v>
      </c>
      <c r="AG331" t="str">
        <f>VLOOKUP(AF331,AKT!$C$4:$E$324,3,FALSE)</f>
        <v>0942</v>
      </c>
    </row>
    <row r="332" spans="1:33">
      <c r="A332" s="69"/>
      <c r="B332" s="64" t="str">
        <f t="shared" si="48"/>
        <v/>
      </c>
      <c r="C332" s="69"/>
      <c r="D332" s="64" t="str">
        <f t="shared" si="49"/>
        <v/>
      </c>
      <c r="E332" s="102"/>
      <c r="F332" s="64" t="str">
        <f t="shared" si="44"/>
        <v/>
      </c>
      <c r="G332" s="64" t="str">
        <f t="shared" si="50"/>
        <v/>
      </c>
      <c r="H332" s="101"/>
      <c r="I332" s="101"/>
      <c r="J332" s="101"/>
      <c r="K332" s="112"/>
      <c r="L332" s="111"/>
      <c r="M332" s="111"/>
      <c r="N332" s="112"/>
      <c r="O332" s="235"/>
      <c r="P332" s="68"/>
      <c r="R332" t="str">
        <f t="shared" si="45"/>
        <v/>
      </c>
      <c r="S332" t="str">
        <f t="shared" si="46"/>
        <v/>
      </c>
      <c r="T332" t="str">
        <f t="shared" si="47"/>
        <v/>
      </c>
      <c r="AD332" t="s">
        <v>2057</v>
      </c>
      <c r="AE332" t="s">
        <v>2058</v>
      </c>
      <c r="AF332" t="str">
        <f t="shared" si="51"/>
        <v>A679077</v>
      </c>
      <c r="AG332" t="str">
        <f>VLOOKUP(AF332,AKT!$C$4:$E$324,3,FALSE)</f>
        <v>0942</v>
      </c>
    </row>
    <row r="333" spans="1:33">
      <c r="A333" s="69"/>
      <c r="B333" s="64" t="str">
        <f t="shared" si="48"/>
        <v/>
      </c>
      <c r="C333" s="69"/>
      <c r="D333" s="64" t="str">
        <f t="shared" si="49"/>
        <v/>
      </c>
      <c r="E333" s="102"/>
      <c r="F333" s="64" t="str">
        <f t="shared" si="44"/>
        <v/>
      </c>
      <c r="G333" s="64" t="str">
        <f t="shared" si="50"/>
        <v/>
      </c>
      <c r="H333" s="101"/>
      <c r="I333" s="101"/>
      <c r="J333" s="101"/>
      <c r="K333" s="112"/>
      <c r="L333" s="111"/>
      <c r="M333" s="111"/>
      <c r="N333" s="112"/>
      <c r="O333" s="235"/>
      <c r="P333" s="68"/>
      <c r="R333" t="str">
        <f t="shared" si="45"/>
        <v/>
      </c>
      <c r="S333" t="str">
        <f t="shared" si="46"/>
        <v/>
      </c>
      <c r="T333" t="str">
        <f t="shared" si="47"/>
        <v/>
      </c>
      <c r="AD333" t="s">
        <v>2059</v>
      </c>
      <c r="AE333" t="s">
        <v>2060</v>
      </c>
      <c r="AF333" t="str">
        <f t="shared" si="51"/>
        <v>A679077</v>
      </c>
      <c r="AG333" t="str">
        <f>VLOOKUP(AF333,AKT!$C$4:$E$324,3,FALSE)</f>
        <v>0942</v>
      </c>
    </row>
    <row r="334" spans="1:33">
      <c r="A334" s="69"/>
      <c r="B334" s="64" t="str">
        <f t="shared" si="48"/>
        <v/>
      </c>
      <c r="C334" s="69"/>
      <c r="D334" s="64" t="str">
        <f t="shared" si="49"/>
        <v/>
      </c>
      <c r="E334" s="102"/>
      <c r="F334" s="64" t="str">
        <f t="shared" si="44"/>
        <v/>
      </c>
      <c r="G334" s="64" t="str">
        <f t="shared" si="50"/>
        <v/>
      </c>
      <c r="H334" s="101"/>
      <c r="I334" s="101"/>
      <c r="J334" s="101"/>
      <c r="K334" s="112"/>
      <c r="L334" s="111"/>
      <c r="M334" s="111"/>
      <c r="N334" s="112"/>
      <c r="O334" s="235"/>
      <c r="P334" s="68"/>
      <c r="R334" t="str">
        <f t="shared" si="45"/>
        <v/>
      </c>
      <c r="S334" t="str">
        <f t="shared" si="46"/>
        <v/>
      </c>
      <c r="T334" t="str">
        <f t="shared" si="47"/>
        <v/>
      </c>
      <c r="AD334" t="s">
        <v>2061</v>
      </c>
      <c r="AE334" t="s">
        <v>2062</v>
      </c>
      <c r="AF334" t="str">
        <f t="shared" si="51"/>
        <v>A679077</v>
      </c>
      <c r="AG334" t="str">
        <f>VLOOKUP(AF334,AKT!$C$4:$E$324,3,FALSE)</f>
        <v>0942</v>
      </c>
    </row>
    <row r="335" spans="1:33">
      <c r="A335" s="69"/>
      <c r="B335" s="64" t="str">
        <f t="shared" si="48"/>
        <v/>
      </c>
      <c r="C335" s="69"/>
      <c r="D335" s="64" t="str">
        <f t="shared" si="49"/>
        <v/>
      </c>
      <c r="E335" s="102"/>
      <c r="F335" s="64" t="str">
        <f t="shared" si="44"/>
        <v/>
      </c>
      <c r="G335" s="64" t="str">
        <f t="shared" si="50"/>
        <v/>
      </c>
      <c r="H335" s="101"/>
      <c r="I335" s="101"/>
      <c r="J335" s="101"/>
      <c r="K335" s="112"/>
      <c r="L335" s="111"/>
      <c r="M335" s="111"/>
      <c r="N335" s="112"/>
      <c r="O335" s="235"/>
      <c r="P335" s="68"/>
      <c r="R335" t="str">
        <f t="shared" si="45"/>
        <v/>
      </c>
      <c r="S335" t="str">
        <f t="shared" si="46"/>
        <v/>
      </c>
      <c r="T335" t="str">
        <f t="shared" si="47"/>
        <v/>
      </c>
      <c r="AD335" t="s">
        <v>2063</v>
      </c>
      <c r="AE335" t="s">
        <v>2064</v>
      </c>
      <c r="AF335" t="str">
        <f t="shared" si="51"/>
        <v>A679077</v>
      </c>
      <c r="AG335" t="str">
        <f>VLOOKUP(AF335,AKT!$C$4:$E$324,3,FALSE)</f>
        <v>0942</v>
      </c>
    </row>
    <row r="336" spans="1:33">
      <c r="A336" s="69"/>
      <c r="B336" s="64" t="str">
        <f t="shared" si="48"/>
        <v/>
      </c>
      <c r="C336" s="69"/>
      <c r="D336" s="64" t="str">
        <f t="shared" si="49"/>
        <v/>
      </c>
      <c r="E336" s="102"/>
      <c r="F336" s="64" t="str">
        <f t="shared" si="44"/>
        <v/>
      </c>
      <c r="G336" s="64" t="str">
        <f t="shared" si="50"/>
        <v/>
      </c>
      <c r="H336" s="101"/>
      <c r="I336" s="101"/>
      <c r="J336" s="101"/>
      <c r="K336" s="112"/>
      <c r="L336" s="111"/>
      <c r="M336" s="111"/>
      <c r="N336" s="112"/>
      <c r="O336" s="235"/>
      <c r="P336" s="68"/>
      <c r="R336" t="str">
        <f t="shared" si="45"/>
        <v/>
      </c>
      <c r="S336" t="str">
        <f t="shared" si="46"/>
        <v/>
      </c>
      <c r="T336" t="str">
        <f t="shared" si="47"/>
        <v/>
      </c>
      <c r="AD336" t="s">
        <v>2065</v>
      </c>
      <c r="AE336" t="s">
        <v>2066</v>
      </c>
      <c r="AF336" t="str">
        <f t="shared" si="51"/>
        <v>A679077</v>
      </c>
      <c r="AG336" t="str">
        <f>VLOOKUP(AF336,AKT!$C$4:$E$324,3,FALSE)</f>
        <v>0942</v>
      </c>
    </row>
    <row r="337" spans="1:33">
      <c r="A337" s="69"/>
      <c r="B337" s="64" t="str">
        <f t="shared" si="48"/>
        <v/>
      </c>
      <c r="C337" s="69"/>
      <c r="D337" s="64" t="str">
        <f t="shared" si="49"/>
        <v/>
      </c>
      <c r="E337" s="102"/>
      <c r="F337" s="64" t="str">
        <f t="shared" si="44"/>
        <v/>
      </c>
      <c r="G337" s="64" t="str">
        <f t="shared" si="50"/>
        <v/>
      </c>
      <c r="H337" s="101"/>
      <c r="I337" s="101"/>
      <c r="J337" s="101"/>
      <c r="K337" s="112"/>
      <c r="L337" s="111"/>
      <c r="M337" s="111"/>
      <c r="N337" s="112"/>
      <c r="O337" s="235"/>
      <c r="P337" s="68"/>
      <c r="R337" t="str">
        <f t="shared" si="45"/>
        <v/>
      </c>
      <c r="S337" t="str">
        <f t="shared" si="46"/>
        <v/>
      </c>
      <c r="T337" t="str">
        <f t="shared" si="47"/>
        <v/>
      </c>
      <c r="AD337" t="s">
        <v>2067</v>
      </c>
      <c r="AE337" t="s">
        <v>2068</v>
      </c>
      <c r="AF337" t="str">
        <f t="shared" si="51"/>
        <v>A679077</v>
      </c>
      <c r="AG337" t="str">
        <f>VLOOKUP(AF337,AKT!$C$4:$E$324,3,FALSE)</f>
        <v>0942</v>
      </c>
    </row>
    <row r="338" spans="1:33">
      <c r="A338" s="69"/>
      <c r="B338" s="64" t="str">
        <f t="shared" si="48"/>
        <v/>
      </c>
      <c r="C338" s="69"/>
      <c r="D338" s="64" t="str">
        <f t="shared" si="49"/>
        <v/>
      </c>
      <c r="E338" s="102"/>
      <c r="F338" s="64" t="str">
        <f t="shared" si="44"/>
        <v/>
      </c>
      <c r="G338" s="64" t="str">
        <f t="shared" si="50"/>
        <v/>
      </c>
      <c r="H338" s="101"/>
      <c r="I338" s="101"/>
      <c r="J338" s="101"/>
      <c r="K338" s="112"/>
      <c r="L338" s="111"/>
      <c r="M338" s="111"/>
      <c r="N338" s="112"/>
      <c r="O338" s="235"/>
      <c r="P338" s="68"/>
      <c r="R338" t="str">
        <f t="shared" si="45"/>
        <v/>
      </c>
      <c r="S338" t="str">
        <f t="shared" si="46"/>
        <v/>
      </c>
      <c r="T338" t="str">
        <f t="shared" si="47"/>
        <v/>
      </c>
      <c r="AD338" t="s">
        <v>2069</v>
      </c>
      <c r="AE338" t="s">
        <v>2070</v>
      </c>
      <c r="AF338" t="str">
        <f t="shared" si="51"/>
        <v>A679077</v>
      </c>
      <c r="AG338" t="str">
        <f>VLOOKUP(AF338,AKT!$C$4:$E$324,3,FALSE)</f>
        <v>0942</v>
      </c>
    </row>
    <row r="339" spans="1:33">
      <c r="A339" s="69"/>
      <c r="B339" s="64" t="str">
        <f t="shared" si="48"/>
        <v/>
      </c>
      <c r="C339" s="69"/>
      <c r="D339" s="64" t="str">
        <f t="shared" si="49"/>
        <v/>
      </c>
      <c r="E339" s="102"/>
      <c r="F339" s="64" t="str">
        <f t="shared" si="44"/>
        <v/>
      </c>
      <c r="G339" s="64" t="str">
        <f t="shared" si="50"/>
        <v/>
      </c>
      <c r="H339" s="101"/>
      <c r="I339" s="101"/>
      <c r="J339" s="101"/>
      <c r="K339" s="112"/>
      <c r="L339" s="111"/>
      <c r="M339" s="111"/>
      <c r="N339" s="112"/>
      <c r="O339" s="235"/>
      <c r="P339" s="68"/>
      <c r="R339" t="str">
        <f t="shared" si="45"/>
        <v/>
      </c>
      <c r="S339" t="str">
        <f t="shared" si="46"/>
        <v/>
      </c>
      <c r="T339" t="str">
        <f t="shared" si="47"/>
        <v/>
      </c>
      <c r="AD339" t="s">
        <v>2071</v>
      </c>
      <c r="AE339" t="s">
        <v>2072</v>
      </c>
      <c r="AF339" t="str">
        <f t="shared" si="51"/>
        <v>A679077</v>
      </c>
      <c r="AG339" t="str">
        <f>VLOOKUP(AF339,AKT!$C$4:$E$324,3,FALSE)</f>
        <v>0942</v>
      </c>
    </row>
    <row r="340" spans="1:33">
      <c r="A340" s="69"/>
      <c r="B340" s="64" t="str">
        <f t="shared" si="48"/>
        <v/>
      </c>
      <c r="C340" s="69"/>
      <c r="D340" s="64" t="str">
        <f t="shared" si="49"/>
        <v/>
      </c>
      <c r="E340" s="102"/>
      <c r="F340" s="64" t="str">
        <f t="shared" si="44"/>
        <v/>
      </c>
      <c r="G340" s="64" t="str">
        <f t="shared" si="50"/>
        <v/>
      </c>
      <c r="H340" s="101"/>
      <c r="I340" s="101"/>
      <c r="J340" s="101"/>
      <c r="K340" s="112"/>
      <c r="L340" s="111"/>
      <c r="M340" s="111"/>
      <c r="N340" s="112"/>
      <c r="O340" s="235"/>
      <c r="P340" s="68"/>
      <c r="R340" t="str">
        <f t="shared" si="45"/>
        <v/>
      </c>
      <c r="S340" t="str">
        <f t="shared" si="46"/>
        <v/>
      </c>
      <c r="T340" t="str">
        <f t="shared" si="47"/>
        <v/>
      </c>
      <c r="AD340" t="s">
        <v>2073</v>
      </c>
      <c r="AE340" t="s">
        <v>2074</v>
      </c>
      <c r="AF340" t="str">
        <f t="shared" si="51"/>
        <v>A679077</v>
      </c>
      <c r="AG340" t="str">
        <f>VLOOKUP(AF340,AKT!$C$4:$E$324,3,FALSE)</f>
        <v>0942</v>
      </c>
    </row>
    <row r="341" spans="1:33">
      <c r="A341" s="69"/>
      <c r="B341" s="64" t="str">
        <f t="shared" si="48"/>
        <v/>
      </c>
      <c r="C341" s="69"/>
      <c r="D341" s="64" t="str">
        <f t="shared" si="49"/>
        <v/>
      </c>
      <c r="E341" s="102"/>
      <c r="F341" s="64" t="str">
        <f t="shared" si="44"/>
        <v/>
      </c>
      <c r="G341" s="64" t="str">
        <f t="shared" si="50"/>
        <v/>
      </c>
      <c r="H341" s="101"/>
      <c r="I341" s="101"/>
      <c r="J341" s="101"/>
      <c r="K341" s="112"/>
      <c r="L341" s="111"/>
      <c r="M341" s="111"/>
      <c r="N341" s="112"/>
      <c r="O341" s="235"/>
      <c r="P341" s="68"/>
      <c r="R341" t="str">
        <f t="shared" si="45"/>
        <v/>
      </c>
      <c r="S341" t="str">
        <f t="shared" si="46"/>
        <v/>
      </c>
      <c r="T341" t="str">
        <f t="shared" si="47"/>
        <v/>
      </c>
      <c r="AD341" t="s">
        <v>2075</v>
      </c>
      <c r="AE341" t="s">
        <v>2076</v>
      </c>
      <c r="AF341" t="str">
        <f t="shared" si="51"/>
        <v>A679077</v>
      </c>
      <c r="AG341" t="str">
        <f>VLOOKUP(AF341,AKT!$C$4:$E$324,3,FALSE)</f>
        <v>0942</v>
      </c>
    </row>
    <row r="342" spans="1:33">
      <c r="A342" s="69"/>
      <c r="B342" s="64" t="str">
        <f t="shared" si="48"/>
        <v/>
      </c>
      <c r="C342" s="69"/>
      <c r="D342" s="64" t="str">
        <f t="shared" si="49"/>
        <v/>
      </c>
      <c r="E342" s="102"/>
      <c r="F342" s="64" t="str">
        <f t="shared" si="44"/>
        <v/>
      </c>
      <c r="G342" s="64" t="str">
        <f t="shared" si="50"/>
        <v/>
      </c>
      <c r="H342" s="101"/>
      <c r="I342" s="101"/>
      <c r="J342" s="101"/>
      <c r="K342" s="112"/>
      <c r="L342" s="111"/>
      <c r="M342" s="111"/>
      <c r="N342" s="112"/>
      <c r="O342" s="235"/>
      <c r="P342" s="68"/>
      <c r="R342" t="str">
        <f t="shared" si="45"/>
        <v/>
      </c>
      <c r="S342" t="str">
        <f t="shared" si="46"/>
        <v/>
      </c>
      <c r="T342" t="str">
        <f t="shared" si="47"/>
        <v/>
      </c>
      <c r="AD342" t="s">
        <v>2077</v>
      </c>
      <c r="AE342" t="s">
        <v>2078</v>
      </c>
      <c r="AF342" t="str">
        <f t="shared" si="51"/>
        <v>A679077</v>
      </c>
      <c r="AG342" t="str">
        <f>VLOOKUP(AF342,AKT!$C$4:$E$324,3,FALSE)</f>
        <v>0942</v>
      </c>
    </row>
    <row r="343" spans="1:33">
      <c r="A343" s="69"/>
      <c r="B343" s="64" t="str">
        <f t="shared" si="48"/>
        <v/>
      </c>
      <c r="C343" s="69"/>
      <c r="D343" s="64" t="str">
        <f t="shared" si="49"/>
        <v/>
      </c>
      <c r="E343" s="102"/>
      <c r="F343" s="64" t="str">
        <f t="shared" si="44"/>
        <v/>
      </c>
      <c r="G343" s="64" t="str">
        <f t="shared" si="50"/>
        <v/>
      </c>
      <c r="H343" s="101"/>
      <c r="I343" s="101"/>
      <c r="J343" s="101"/>
      <c r="K343" s="112"/>
      <c r="L343" s="111"/>
      <c r="M343" s="111"/>
      <c r="N343" s="112"/>
      <c r="O343" s="235"/>
      <c r="P343" s="68"/>
      <c r="R343" t="str">
        <f t="shared" si="45"/>
        <v/>
      </c>
      <c r="S343" t="str">
        <f t="shared" si="46"/>
        <v/>
      </c>
      <c r="T343" t="str">
        <f t="shared" si="47"/>
        <v/>
      </c>
      <c r="AD343" t="s">
        <v>2079</v>
      </c>
      <c r="AE343" t="s">
        <v>2080</v>
      </c>
      <c r="AF343" t="str">
        <f t="shared" si="51"/>
        <v>A679077</v>
      </c>
      <c r="AG343" t="str">
        <f>VLOOKUP(AF343,AKT!$C$4:$E$324,3,FALSE)</f>
        <v>0942</v>
      </c>
    </row>
    <row r="344" spans="1:33">
      <c r="A344" s="69"/>
      <c r="B344" s="64" t="str">
        <f t="shared" si="48"/>
        <v/>
      </c>
      <c r="C344" s="69"/>
      <c r="D344" s="64" t="str">
        <f t="shared" si="49"/>
        <v/>
      </c>
      <c r="E344" s="102"/>
      <c r="F344" s="64" t="str">
        <f t="shared" si="44"/>
        <v/>
      </c>
      <c r="G344" s="64" t="str">
        <f t="shared" si="50"/>
        <v/>
      </c>
      <c r="H344" s="101"/>
      <c r="I344" s="101"/>
      <c r="J344" s="101"/>
      <c r="K344" s="112"/>
      <c r="L344" s="111"/>
      <c r="M344" s="111"/>
      <c r="N344" s="112"/>
      <c r="O344" s="235"/>
      <c r="P344" s="68"/>
      <c r="R344" t="str">
        <f t="shared" si="45"/>
        <v/>
      </c>
      <c r="S344" t="str">
        <f t="shared" si="46"/>
        <v/>
      </c>
      <c r="T344" t="str">
        <f t="shared" si="47"/>
        <v/>
      </c>
      <c r="AD344" t="s">
        <v>2081</v>
      </c>
      <c r="AE344" t="s">
        <v>2082</v>
      </c>
      <c r="AF344" t="str">
        <f t="shared" si="51"/>
        <v>A679077</v>
      </c>
      <c r="AG344" t="str">
        <f>VLOOKUP(AF344,AKT!$C$4:$E$324,3,FALSE)</f>
        <v>0942</v>
      </c>
    </row>
    <row r="345" spans="1:33">
      <c r="A345" s="69"/>
      <c r="B345" s="64" t="str">
        <f t="shared" si="48"/>
        <v/>
      </c>
      <c r="C345" s="69"/>
      <c r="D345" s="64" t="str">
        <f t="shared" si="49"/>
        <v/>
      </c>
      <c r="E345" s="102"/>
      <c r="F345" s="64" t="str">
        <f t="shared" si="44"/>
        <v/>
      </c>
      <c r="G345" s="64" t="str">
        <f t="shared" si="50"/>
        <v/>
      </c>
      <c r="H345" s="101"/>
      <c r="I345" s="101"/>
      <c r="J345" s="101"/>
      <c r="K345" s="112"/>
      <c r="L345" s="111"/>
      <c r="M345" s="111"/>
      <c r="N345" s="112"/>
      <c r="O345" s="235"/>
      <c r="P345" s="68"/>
      <c r="R345" t="str">
        <f t="shared" si="45"/>
        <v/>
      </c>
      <c r="S345" t="str">
        <f t="shared" si="46"/>
        <v/>
      </c>
      <c r="T345" t="str">
        <f t="shared" si="47"/>
        <v/>
      </c>
      <c r="AD345" t="s">
        <v>2083</v>
      </c>
      <c r="AE345" t="s">
        <v>2084</v>
      </c>
      <c r="AF345" t="str">
        <f t="shared" si="51"/>
        <v>A679077</v>
      </c>
      <c r="AG345" t="str">
        <f>VLOOKUP(AF345,AKT!$C$4:$E$324,3,FALSE)</f>
        <v>0942</v>
      </c>
    </row>
    <row r="346" spans="1:33">
      <c r="A346" s="69"/>
      <c r="B346" s="64" t="str">
        <f t="shared" si="48"/>
        <v/>
      </c>
      <c r="C346" s="69"/>
      <c r="D346" s="64" t="str">
        <f t="shared" si="49"/>
        <v/>
      </c>
      <c r="E346" s="102"/>
      <c r="F346" s="64" t="str">
        <f t="shared" si="44"/>
        <v/>
      </c>
      <c r="G346" s="64" t="str">
        <f t="shared" si="50"/>
        <v/>
      </c>
      <c r="H346" s="101"/>
      <c r="I346" s="101"/>
      <c r="J346" s="101"/>
      <c r="K346" s="112"/>
      <c r="L346" s="111"/>
      <c r="M346" s="111"/>
      <c r="N346" s="112"/>
      <c r="O346" s="235"/>
      <c r="P346" s="68"/>
      <c r="R346" t="str">
        <f t="shared" si="45"/>
        <v/>
      </c>
      <c r="S346" t="str">
        <f t="shared" si="46"/>
        <v/>
      </c>
      <c r="T346" t="str">
        <f t="shared" si="47"/>
        <v/>
      </c>
      <c r="AD346" t="s">
        <v>2085</v>
      </c>
      <c r="AE346" t="s">
        <v>2086</v>
      </c>
      <c r="AF346" t="str">
        <f t="shared" si="51"/>
        <v>A679077</v>
      </c>
      <c r="AG346" t="str">
        <f>VLOOKUP(AF346,AKT!$C$4:$E$324,3,FALSE)</f>
        <v>0942</v>
      </c>
    </row>
    <row r="347" spans="1:33">
      <c r="A347" s="69"/>
      <c r="B347" s="64" t="str">
        <f t="shared" si="48"/>
        <v/>
      </c>
      <c r="C347" s="69"/>
      <c r="D347" s="64" t="str">
        <f t="shared" si="49"/>
        <v/>
      </c>
      <c r="E347" s="102"/>
      <c r="F347" s="64" t="str">
        <f t="shared" si="44"/>
        <v/>
      </c>
      <c r="G347" s="64" t="str">
        <f t="shared" si="50"/>
        <v/>
      </c>
      <c r="H347" s="101"/>
      <c r="I347" s="101"/>
      <c r="J347" s="101"/>
      <c r="K347" s="112"/>
      <c r="L347" s="111"/>
      <c r="M347" s="111"/>
      <c r="N347" s="112"/>
      <c r="O347" s="235"/>
      <c r="P347" s="68"/>
      <c r="R347" t="str">
        <f t="shared" si="45"/>
        <v/>
      </c>
      <c r="S347" t="str">
        <f t="shared" si="46"/>
        <v/>
      </c>
      <c r="T347" t="str">
        <f t="shared" si="47"/>
        <v/>
      </c>
      <c r="AD347" t="s">
        <v>2087</v>
      </c>
      <c r="AE347" t="s">
        <v>2088</v>
      </c>
      <c r="AF347" t="str">
        <f t="shared" si="51"/>
        <v>A679077</v>
      </c>
      <c r="AG347" t="str">
        <f>VLOOKUP(AF347,AKT!$C$4:$E$324,3,FALSE)</f>
        <v>0942</v>
      </c>
    </row>
    <row r="348" spans="1:33">
      <c r="A348" s="69"/>
      <c r="B348" s="64" t="str">
        <f t="shared" si="48"/>
        <v/>
      </c>
      <c r="C348" s="69"/>
      <c r="D348" s="64" t="str">
        <f t="shared" si="49"/>
        <v/>
      </c>
      <c r="E348" s="102"/>
      <c r="F348" s="64" t="str">
        <f t="shared" si="44"/>
        <v/>
      </c>
      <c r="G348" s="64" t="str">
        <f t="shared" si="50"/>
        <v/>
      </c>
      <c r="H348" s="101"/>
      <c r="I348" s="101"/>
      <c r="J348" s="101"/>
      <c r="K348" s="112"/>
      <c r="L348" s="111"/>
      <c r="M348" s="111"/>
      <c r="N348" s="112"/>
      <c r="O348" s="235"/>
      <c r="P348" s="68"/>
      <c r="R348" t="str">
        <f t="shared" si="45"/>
        <v/>
      </c>
      <c r="S348" t="str">
        <f t="shared" si="46"/>
        <v/>
      </c>
      <c r="T348" t="str">
        <f t="shared" si="47"/>
        <v/>
      </c>
      <c r="AD348" t="s">
        <v>2089</v>
      </c>
      <c r="AE348" t="s">
        <v>2090</v>
      </c>
      <c r="AF348" t="str">
        <f t="shared" si="51"/>
        <v>A679077</v>
      </c>
      <c r="AG348" t="str">
        <f>VLOOKUP(AF348,AKT!$C$4:$E$324,3,FALSE)</f>
        <v>0942</v>
      </c>
    </row>
    <row r="349" spans="1:33">
      <c r="A349" s="69"/>
      <c r="B349" s="64" t="str">
        <f t="shared" si="48"/>
        <v/>
      </c>
      <c r="C349" s="69"/>
      <c r="D349" s="64" t="str">
        <f t="shared" si="49"/>
        <v/>
      </c>
      <c r="E349" s="102"/>
      <c r="F349" s="64" t="str">
        <f t="shared" si="44"/>
        <v/>
      </c>
      <c r="G349" s="64" t="str">
        <f t="shared" si="50"/>
        <v/>
      </c>
      <c r="H349" s="101"/>
      <c r="I349" s="101"/>
      <c r="J349" s="101"/>
      <c r="K349" s="112"/>
      <c r="L349" s="111"/>
      <c r="M349" s="111"/>
      <c r="N349" s="112"/>
      <c r="O349" s="235"/>
      <c r="P349" s="68"/>
      <c r="R349" t="str">
        <f t="shared" si="45"/>
        <v/>
      </c>
      <c r="S349" t="str">
        <f t="shared" si="46"/>
        <v/>
      </c>
      <c r="T349" t="str">
        <f t="shared" si="47"/>
        <v/>
      </c>
      <c r="AD349" t="s">
        <v>2091</v>
      </c>
      <c r="AE349" t="s">
        <v>2092</v>
      </c>
      <c r="AF349" t="str">
        <f t="shared" si="51"/>
        <v>A679077</v>
      </c>
      <c r="AG349" t="str">
        <f>VLOOKUP(AF349,AKT!$C$4:$E$324,3,FALSE)</f>
        <v>0942</v>
      </c>
    </row>
    <row r="350" spans="1:33">
      <c r="A350" s="69"/>
      <c r="B350" s="64" t="str">
        <f t="shared" si="48"/>
        <v/>
      </c>
      <c r="C350" s="69"/>
      <c r="D350" s="64" t="str">
        <f t="shared" si="49"/>
        <v/>
      </c>
      <c r="E350" s="102"/>
      <c r="F350" s="64" t="str">
        <f t="shared" si="44"/>
        <v/>
      </c>
      <c r="G350" s="64" t="str">
        <f t="shared" si="50"/>
        <v/>
      </c>
      <c r="H350" s="101"/>
      <c r="I350" s="101"/>
      <c r="J350" s="101"/>
      <c r="K350" s="112"/>
      <c r="L350" s="111"/>
      <c r="M350" s="111"/>
      <c r="N350" s="112"/>
      <c r="O350" s="235"/>
      <c r="P350" s="68"/>
      <c r="R350" t="str">
        <f t="shared" si="45"/>
        <v/>
      </c>
      <c r="S350" t="str">
        <f t="shared" si="46"/>
        <v/>
      </c>
      <c r="T350" t="str">
        <f t="shared" si="47"/>
        <v/>
      </c>
      <c r="AD350" t="s">
        <v>2093</v>
      </c>
      <c r="AE350" t="s">
        <v>2094</v>
      </c>
      <c r="AF350" t="str">
        <f t="shared" si="51"/>
        <v>A679077</v>
      </c>
      <c r="AG350" t="str">
        <f>VLOOKUP(AF350,AKT!$C$4:$E$324,3,FALSE)</f>
        <v>0942</v>
      </c>
    </row>
    <row r="351" spans="1:33">
      <c r="A351" s="69"/>
      <c r="B351" s="64" t="str">
        <f t="shared" si="48"/>
        <v/>
      </c>
      <c r="C351" s="69"/>
      <c r="D351" s="64" t="str">
        <f t="shared" si="49"/>
        <v/>
      </c>
      <c r="E351" s="102"/>
      <c r="F351" s="64" t="str">
        <f t="shared" si="44"/>
        <v/>
      </c>
      <c r="G351" s="64" t="str">
        <f t="shared" si="50"/>
        <v/>
      </c>
      <c r="H351" s="101"/>
      <c r="I351" s="101"/>
      <c r="J351" s="101"/>
      <c r="K351" s="112"/>
      <c r="L351" s="111"/>
      <c r="M351" s="111"/>
      <c r="N351" s="112"/>
      <c r="O351" s="235"/>
      <c r="P351" s="68"/>
      <c r="R351" t="str">
        <f t="shared" si="45"/>
        <v/>
      </c>
      <c r="S351" t="str">
        <f t="shared" si="46"/>
        <v/>
      </c>
      <c r="T351" t="str">
        <f t="shared" si="47"/>
        <v/>
      </c>
      <c r="AD351" t="s">
        <v>2095</v>
      </c>
      <c r="AE351" t="s">
        <v>2096</v>
      </c>
      <c r="AF351" t="str">
        <f t="shared" si="51"/>
        <v>A679077</v>
      </c>
      <c r="AG351" t="str">
        <f>VLOOKUP(AF351,AKT!$C$4:$E$324,3,FALSE)</f>
        <v>0942</v>
      </c>
    </row>
    <row r="352" spans="1:33">
      <c r="A352" s="69"/>
      <c r="B352" s="64" t="str">
        <f t="shared" si="48"/>
        <v/>
      </c>
      <c r="C352" s="69"/>
      <c r="D352" s="64" t="str">
        <f t="shared" si="49"/>
        <v/>
      </c>
      <c r="E352" s="102"/>
      <c r="F352" s="64" t="str">
        <f t="shared" si="44"/>
        <v/>
      </c>
      <c r="G352" s="64" t="str">
        <f t="shared" si="50"/>
        <v/>
      </c>
      <c r="H352" s="101"/>
      <c r="I352" s="101"/>
      <c r="J352" s="101"/>
      <c r="K352" s="112"/>
      <c r="L352" s="111"/>
      <c r="M352" s="111"/>
      <c r="N352" s="112"/>
      <c r="O352" s="235"/>
      <c r="P352" s="68"/>
      <c r="R352" t="str">
        <f t="shared" si="45"/>
        <v/>
      </c>
      <c r="S352" t="str">
        <f t="shared" si="46"/>
        <v/>
      </c>
      <c r="T352" t="str">
        <f t="shared" si="47"/>
        <v/>
      </c>
      <c r="AD352" t="s">
        <v>2097</v>
      </c>
      <c r="AE352" t="s">
        <v>2098</v>
      </c>
      <c r="AF352" t="str">
        <f t="shared" si="51"/>
        <v>A679077</v>
      </c>
      <c r="AG352" t="str">
        <f>VLOOKUP(AF352,AKT!$C$4:$E$324,3,FALSE)</f>
        <v>0942</v>
      </c>
    </row>
    <row r="353" spans="1:33">
      <c r="A353" s="69"/>
      <c r="B353" s="64" t="str">
        <f t="shared" si="48"/>
        <v/>
      </c>
      <c r="C353" s="69"/>
      <c r="D353" s="64" t="str">
        <f t="shared" si="49"/>
        <v/>
      </c>
      <c r="E353" s="102"/>
      <c r="F353" s="64" t="str">
        <f t="shared" si="44"/>
        <v/>
      </c>
      <c r="G353" s="64" t="str">
        <f t="shared" si="50"/>
        <v/>
      </c>
      <c r="H353" s="101"/>
      <c r="I353" s="101"/>
      <c r="J353" s="101"/>
      <c r="K353" s="112"/>
      <c r="L353" s="111"/>
      <c r="M353" s="111"/>
      <c r="N353" s="112"/>
      <c r="O353" s="235"/>
      <c r="P353" s="68"/>
      <c r="R353" t="str">
        <f t="shared" si="45"/>
        <v/>
      </c>
      <c r="S353" t="str">
        <f t="shared" si="46"/>
        <v/>
      </c>
      <c r="T353" t="str">
        <f t="shared" si="47"/>
        <v/>
      </c>
      <c r="AD353" t="s">
        <v>2099</v>
      </c>
      <c r="AE353" t="s">
        <v>2100</v>
      </c>
      <c r="AF353" t="str">
        <f t="shared" si="51"/>
        <v>A679077</v>
      </c>
      <c r="AG353" t="str">
        <f>VLOOKUP(AF353,AKT!$C$4:$E$324,3,FALSE)</f>
        <v>0942</v>
      </c>
    </row>
    <row r="354" spans="1:33">
      <c r="A354" s="69"/>
      <c r="B354" s="64" t="str">
        <f t="shared" si="48"/>
        <v/>
      </c>
      <c r="C354" s="69"/>
      <c r="D354" s="64" t="str">
        <f t="shared" si="49"/>
        <v/>
      </c>
      <c r="E354" s="102"/>
      <c r="F354" s="64" t="str">
        <f t="shared" si="44"/>
        <v/>
      </c>
      <c r="G354" s="64" t="str">
        <f t="shared" si="50"/>
        <v/>
      </c>
      <c r="H354" s="101"/>
      <c r="I354" s="101"/>
      <c r="J354" s="101"/>
      <c r="K354" s="112"/>
      <c r="L354" s="111"/>
      <c r="M354" s="111"/>
      <c r="N354" s="112"/>
      <c r="O354" s="235"/>
      <c r="P354" s="68"/>
      <c r="R354" t="str">
        <f t="shared" si="45"/>
        <v/>
      </c>
      <c r="S354" t="str">
        <f t="shared" si="46"/>
        <v/>
      </c>
      <c r="T354" t="str">
        <f t="shared" si="47"/>
        <v/>
      </c>
      <c r="AD354" t="s">
        <v>2101</v>
      </c>
      <c r="AE354" t="s">
        <v>2102</v>
      </c>
      <c r="AF354" t="str">
        <f t="shared" si="51"/>
        <v>A679077</v>
      </c>
      <c r="AG354" t="str">
        <f>VLOOKUP(AF354,AKT!$C$4:$E$324,3,FALSE)</f>
        <v>0942</v>
      </c>
    </row>
    <row r="355" spans="1:33">
      <c r="A355" s="69"/>
      <c r="B355" s="64" t="str">
        <f t="shared" si="48"/>
        <v/>
      </c>
      <c r="C355" s="69"/>
      <c r="D355" s="64" t="str">
        <f t="shared" si="49"/>
        <v/>
      </c>
      <c r="E355" s="102"/>
      <c r="F355" s="64" t="str">
        <f t="shared" si="44"/>
        <v/>
      </c>
      <c r="G355" s="64" t="str">
        <f t="shared" si="50"/>
        <v/>
      </c>
      <c r="H355" s="101"/>
      <c r="I355" s="101"/>
      <c r="J355" s="101"/>
      <c r="K355" s="112"/>
      <c r="L355" s="111"/>
      <c r="M355" s="111"/>
      <c r="N355" s="112"/>
      <c r="O355" s="235"/>
      <c r="P355" s="68"/>
      <c r="R355" t="str">
        <f t="shared" si="45"/>
        <v/>
      </c>
      <c r="S355" t="str">
        <f t="shared" si="46"/>
        <v/>
      </c>
      <c r="T355" t="str">
        <f t="shared" si="47"/>
        <v/>
      </c>
      <c r="AD355" t="s">
        <v>2103</v>
      </c>
      <c r="AE355" t="s">
        <v>2104</v>
      </c>
      <c r="AF355" t="str">
        <f t="shared" si="51"/>
        <v>A679077</v>
      </c>
      <c r="AG355" t="str">
        <f>VLOOKUP(AF355,AKT!$C$4:$E$324,3,FALSE)</f>
        <v>0942</v>
      </c>
    </row>
    <row r="356" spans="1:33">
      <c r="A356" s="69"/>
      <c r="B356" s="64" t="str">
        <f t="shared" si="48"/>
        <v/>
      </c>
      <c r="C356" s="69"/>
      <c r="D356" s="64" t="str">
        <f t="shared" si="49"/>
        <v/>
      </c>
      <c r="E356" s="102"/>
      <c r="F356" s="64" t="str">
        <f t="shared" si="44"/>
        <v/>
      </c>
      <c r="G356" s="64" t="str">
        <f t="shared" si="50"/>
        <v/>
      </c>
      <c r="H356" s="101"/>
      <c r="I356" s="101"/>
      <c r="J356" s="101"/>
      <c r="K356" s="112"/>
      <c r="L356" s="111"/>
      <c r="M356" s="111"/>
      <c r="N356" s="112"/>
      <c r="O356" s="235"/>
      <c r="P356" s="68"/>
      <c r="R356" t="str">
        <f t="shared" si="45"/>
        <v/>
      </c>
      <c r="S356" t="str">
        <f t="shared" si="46"/>
        <v/>
      </c>
      <c r="T356" t="str">
        <f t="shared" si="47"/>
        <v/>
      </c>
      <c r="AD356" t="s">
        <v>2105</v>
      </c>
      <c r="AE356" t="s">
        <v>2106</v>
      </c>
      <c r="AF356" t="str">
        <f t="shared" si="51"/>
        <v>A679077</v>
      </c>
      <c r="AG356" t="str">
        <f>VLOOKUP(AF356,AKT!$C$4:$E$324,3,FALSE)</f>
        <v>0942</v>
      </c>
    </row>
    <row r="357" spans="1:33">
      <c r="A357" s="69"/>
      <c r="B357" s="64" t="str">
        <f t="shared" si="48"/>
        <v/>
      </c>
      <c r="C357" s="69"/>
      <c r="D357" s="64" t="str">
        <f t="shared" si="49"/>
        <v/>
      </c>
      <c r="E357" s="102"/>
      <c r="F357" s="64" t="str">
        <f t="shared" si="44"/>
        <v/>
      </c>
      <c r="G357" s="64" t="str">
        <f t="shared" si="50"/>
        <v/>
      </c>
      <c r="H357" s="101"/>
      <c r="I357" s="101"/>
      <c r="J357" s="101"/>
      <c r="K357" s="112"/>
      <c r="L357" s="111"/>
      <c r="M357" s="111"/>
      <c r="N357" s="112"/>
      <c r="O357" s="235"/>
      <c r="P357" s="68"/>
      <c r="R357" t="str">
        <f t="shared" si="45"/>
        <v/>
      </c>
      <c r="S357" t="str">
        <f t="shared" si="46"/>
        <v/>
      </c>
      <c r="T357" t="str">
        <f t="shared" si="47"/>
        <v/>
      </c>
      <c r="AD357" t="s">
        <v>2107</v>
      </c>
      <c r="AE357" t="s">
        <v>2108</v>
      </c>
      <c r="AF357" t="str">
        <f t="shared" si="51"/>
        <v>A679077</v>
      </c>
      <c r="AG357" t="str">
        <f>VLOOKUP(AF357,AKT!$C$4:$E$324,3,FALSE)</f>
        <v>0942</v>
      </c>
    </row>
    <row r="358" spans="1:33">
      <c r="A358" s="69"/>
      <c r="B358" s="64" t="str">
        <f t="shared" si="48"/>
        <v/>
      </c>
      <c r="C358" s="69"/>
      <c r="D358" s="64" t="str">
        <f t="shared" si="49"/>
        <v/>
      </c>
      <c r="E358" s="102"/>
      <c r="F358" s="64" t="str">
        <f t="shared" si="44"/>
        <v/>
      </c>
      <c r="G358" s="64" t="str">
        <f t="shared" si="50"/>
        <v/>
      </c>
      <c r="H358" s="101"/>
      <c r="I358" s="101"/>
      <c r="J358" s="101"/>
      <c r="K358" s="112"/>
      <c r="L358" s="111"/>
      <c r="M358" s="111"/>
      <c r="N358" s="112"/>
      <c r="O358" s="235"/>
      <c r="P358" s="68"/>
      <c r="R358" t="str">
        <f t="shared" si="45"/>
        <v/>
      </c>
      <c r="S358" t="str">
        <f t="shared" si="46"/>
        <v/>
      </c>
      <c r="T358" t="str">
        <f t="shared" si="47"/>
        <v/>
      </c>
      <c r="AD358" t="s">
        <v>2109</v>
      </c>
      <c r="AE358" t="s">
        <v>2110</v>
      </c>
      <c r="AF358" t="str">
        <f t="shared" si="51"/>
        <v>A679077</v>
      </c>
      <c r="AG358" t="str">
        <f>VLOOKUP(AF358,AKT!$C$4:$E$324,3,FALSE)</f>
        <v>0942</v>
      </c>
    </row>
    <row r="359" spans="1:33">
      <c r="A359" s="69"/>
      <c r="B359" s="64" t="str">
        <f t="shared" si="48"/>
        <v/>
      </c>
      <c r="C359" s="69"/>
      <c r="D359" s="64" t="str">
        <f t="shared" si="49"/>
        <v/>
      </c>
      <c r="E359" s="102"/>
      <c r="F359" s="64" t="str">
        <f t="shared" si="44"/>
        <v/>
      </c>
      <c r="G359" s="64" t="str">
        <f t="shared" si="50"/>
        <v/>
      </c>
      <c r="H359" s="101"/>
      <c r="I359" s="101"/>
      <c r="J359" s="101"/>
      <c r="K359" s="112"/>
      <c r="L359" s="111"/>
      <c r="M359" s="111"/>
      <c r="N359" s="112"/>
      <c r="O359" s="235"/>
      <c r="P359" s="68"/>
      <c r="R359" t="str">
        <f t="shared" si="45"/>
        <v/>
      </c>
      <c r="S359" t="str">
        <f t="shared" si="46"/>
        <v/>
      </c>
      <c r="T359" t="str">
        <f t="shared" si="47"/>
        <v/>
      </c>
      <c r="AD359" t="s">
        <v>2111</v>
      </c>
      <c r="AE359" t="s">
        <v>2112</v>
      </c>
      <c r="AF359" t="str">
        <f t="shared" si="51"/>
        <v>A679077</v>
      </c>
      <c r="AG359" t="str">
        <f>VLOOKUP(AF359,AKT!$C$4:$E$324,3,FALSE)</f>
        <v>0942</v>
      </c>
    </row>
    <row r="360" spans="1:33">
      <c r="A360" s="69"/>
      <c r="B360" s="64" t="str">
        <f t="shared" si="48"/>
        <v/>
      </c>
      <c r="C360" s="69"/>
      <c r="D360" s="64" t="str">
        <f t="shared" si="49"/>
        <v/>
      </c>
      <c r="E360" s="102"/>
      <c r="F360" s="64" t="str">
        <f t="shared" si="44"/>
        <v/>
      </c>
      <c r="G360" s="64" t="str">
        <f t="shared" si="50"/>
        <v/>
      </c>
      <c r="H360" s="101"/>
      <c r="I360" s="101"/>
      <c r="J360" s="101"/>
      <c r="K360" s="112"/>
      <c r="L360" s="111"/>
      <c r="M360" s="111"/>
      <c r="N360" s="112"/>
      <c r="O360" s="235"/>
      <c r="P360" s="68"/>
      <c r="R360" t="str">
        <f t="shared" si="45"/>
        <v/>
      </c>
      <c r="S360" t="str">
        <f t="shared" si="46"/>
        <v/>
      </c>
      <c r="T360" t="str">
        <f t="shared" si="47"/>
        <v/>
      </c>
      <c r="AD360" t="s">
        <v>2113</v>
      </c>
      <c r="AE360" t="s">
        <v>2114</v>
      </c>
      <c r="AF360" t="str">
        <f t="shared" si="51"/>
        <v>A679077</v>
      </c>
      <c r="AG360" t="str">
        <f>VLOOKUP(AF360,AKT!$C$4:$E$324,3,FALSE)</f>
        <v>0942</v>
      </c>
    </row>
    <row r="361" spans="1:33">
      <c r="A361" s="69"/>
      <c r="B361" s="64" t="str">
        <f t="shared" si="48"/>
        <v/>
      </c>
      <c r="C361" s="69"/>
      <c r="D361" s="64" t="str">
        <f t="shared" si="49"/>
        <v/>
      </c>
      <c r="E361" s="102"/>
      <c r="F361" s="64" t="str">
        <f t="shared" si="44"/>
        <v/>
      </c>
      <c r="G361" s="64" t="str">
        <f t="shared" si="50"/>
        <v/>
      </c>
      <c r="H361" s="101"/>
      <c r="I361" s="101"/>
      <c r="J361" s="101"/>
      <c r="K361" s="112"/>
      <c r="L361" s="111"/>
      <c r="M361" s="111"/>
      <c r="N361" s="112"/>
      <c r="O361" s="235"/>
      <c r="P361" s="68"/>
      <c r="R361" t="str">
        <f t="shared" si="45"/>
        <v/>
      </c>
      <c r="S361" t="str">
        <f t="shared" si="46"/>
        <v/>
      </c>
      <c r="T361" t="str">
        <f t="shared" si="47"/>
        <v/>
      </c>
      <c r="AD361" t="s">
        <v>2115</v>
      </c>
      <c r="AE361" t="s">
        <v>2116</v>
      </c>
      <c r="AF361" t="str">
        <f t="shared" si="51"/>
        <v>A679077</v>
      </c>
      <c r="AG361" t="str">
        <f>VLOOKUP(AF361,AKT!$C$4:$E$324,3,FALSE)</f>
        <v>0942</v>
      </c>
    </row>
    <row r="362" spans="1:33">
      <c r="A362" s="69"/>
      <c r="B362" s="64" t="str">
        <f t="shared" si="48"/>
        <v/>
      </c>
      <c r="C362" s="69"/>
      <c r="D362" s="64" t="str">
        <f t="shared" si="49"/>
        <v/>
      </c>
      <c r="E362" s="102"/>
      <c r="F362" s="64" t="str">
        <f t="shared" ref="F362:F425" si="52">IFERROR(VLOOKUP(E362,$AD$6:$AE$1085,2,FALSE),"")</f>
        <v/>
      </c>
      <c r="G362" s="64" t="str">
        <f t="shared" si="50"/>
        <v/>
      </c>
      <c r="H362" s="101"/>
      <c r="I362" s="101"/>
      <c r="J362" s="101"/>
      <c r="K362" s="112"/>
      <c r="L362" s="111"/>
      <c r="M362" s="111"/>
      <c r="N362" s="112"/>
      <c r="O362" s="235"/>
      <c r="P362" s="68"/>
      <c r="R362" t="str">
        <f t="shared" si="45"/>
        <v/>
      </c>
      <c r="S362" t="str">
        <f t="shared" si="46"/>
        <v/>
      </c>
      <c r="T362" t="str">
        <f t="shared" si="47"/>
        <v/>
      </c>
      <c r="AD362" t="s">
        <v>2117</v>
      </c>
      <c r="AE362" t="s">
        <v>2118</v>
      </c>
      <c r="AF362" t="str">
        <f t="shared" si="51"/>
        <v>A679077</v>
      </c>
      <c r="AG362" t="str">
        <f>VLOOKUP(AF362,AKT!$C$4:$E$324,3,FALSE)</f>
        <v>0942</v>
      </c>
    </row>
    <row r="363" spans="1:33">
      <c r="A363" s="69"/>
      <c r="B363" s="64" t="str">
        <f t="shared" si="48"/>
        <v/>
      </c>
      <c r="C363" s="69"/>
      <c r="D363" s="64" t="str">
        <f t="shared" si="49"/>
        <v/>
      </c>
      <c r="E363" s="102"/>
      <c r="F363" s="64" t="str">
        <f t="shared" si="52"/>
        <v/>
      </c>
      <c r="G363" s="64" t="str">
        <f t="shared" si="50"/>
        <v/>
      </c>
      <c r="H363" s="101"/>
      <c r="I363" s="101"/>
      <c r="J363" s="101"/>
      <c r="K363" s="112"/>
      <c r="L363" s="111"/>
      <c r="M363" s="111"/>
      <c r="N363" s="112"/>
      <c r="O363" s="235"/>
      <c r="P363" s="68"/>
      <c r="R363" t="str">
        <f t="shared" si="45"/>
        <v/>
      </c>
      <c r="S363" t="str">
        <f t="shared" si="46"/>
        <v/>
      </c>
      <c r="T363" t="str">
        <f t="shared" si="47"/>
        <v/>
      </c>
      <c r="AD363" t="s">
        <v>2119</v>
      </c>
      <c r="AE363" t="s">
        <v>2120</v>
      </c>
      <c r="AF363" t="str">
        <f t="shared" si="51"/>
        <v>A679077</v>
      </c>
      <c r="AG363" t="str">
        <f>VLOOKUP(AF363,AKT!$C$4:$E$324,3,FALSE)</f>
        <v>0942</v>
      </c>
    </row>
    <row r="364" spans="1:33">
      <c r="A364" s="69"/>
      <c r="B364" s="64" t="str">
        <f t="shared" si="48"/>
        <v/>
      </c>
      <c r="C364" s="69"/>
      <c r="D364" s="64" t="str">
        <f t="shared" si="49"/>
        <v/>
      </c>
      <c r="E364" s="102"/>
      <c r="F364" s="64" t="str">
        <f t="shared" si="52"/>
        <v/>
      </c>
      <c r="G364" s="64" t="str">
        <f t="shared" si="50"/>
        <v/>
      </c>
      <c r="H364" s="101"/>
      <c r="I364" s="101"/>
      <c r="J364" s="101"/>
      <c r="K364" s="112"/>
      <c r="L364" s="111"/>
      <c r="M364" s="111"/>
      <c r="N364" s="112"/>
      <c r="O364" s="235"/>
      <c r="P364" s="68"/>
      <c r="R364" t="str">
        <f t="shared" si="45"/>
        <v/>
      </c>
      <c r="S364" t="str">
        <f t="shared" si="46"/>
        <v/>
      </c>
      <c r="T364" t="str">
        <f t="shared" si="47"/>
        <v/>
      </c>
      <c r="AD364" t="s">
        <v>2121</v>
      </c>
      <c r="AE364" t="s">
        <v>2122</v>
      </c>
      <c r="AF364" t="str">
        <f t="shared" si="51"/>
        <v>A679077</v>
      </c>
      <c r="AG364" t="str">
        <f>VLOOKUP(AF364,AKT!$C$4:$E$324,3,FALSE)</f>
        <v>0942</v>
      </c>
    </row>
    <row r="365" spans="1:33">
      <c r="A365" s="69"/>
      <c r="B365" s="64" t="str">
        <f t="shared" si="48"/>
        <v/>
      </c>
      <c r="C365" s="69"/>
      <c r="D365" s="64" t="str">
        <f t="shared" si="49"/>
        <v/>
      </c>
      <c r="E365" s="102"/>
      <c r="F365" s="64" t="str">
        <f t="shared" si="52"/>
        <v/>
      </c>
      <c r="G365" s="64" t="str">
        <f t="shared" si="50"/>
        <v/>
      </c>
      <c r="H365" s="101"/>
      <c r="I365" s="101"/>
      <c r="J365" s="101"/>
      <c r="K365" s="112"/>
      <c r="L365" s="111"/>
      <c r="M365" s="111"/>
      <c r="N365" s="112"/>
      <c r="O365" s="235"/>
      <c r="P365" s="68"/>
      <c r="R365" t="str">
        <f t="shared" si="45"/>
        <v/>
      </c>
      <c r="S365" t="str">
        <f t="shared" si="46"/>
        <v/>
      </c>
      <c r="T365" t="str">
        <f t="shared" si="47"/>
        <v/>
      </c>
      <c r="AD365" t="s">
        <v>2123</v>
      </c>
      <c r="AE365" t="s">
        <v>2124</v>
      </c>
      <c r="AF365" t="str">
        <f t="shared" si="51"/>
        <v>A679077</v>
      </c>
      <c r="AG365" t="str">
        <f>VLOOKUP(AF365,AKT!$C$4:$E$324,3,FALSE)</f>
        <v>0942</v>
      </c>
    </row>
    <row r="366" spans="1:33">
      <c r="A366" s="69"/>
      <c r="B366" s="64" t="str">
        <f t="shared" si="48"/>
        <v/>
      </c>
      <c r="C366" s="69"/>
      <c r="D366" s="64" t="str">
        <f t="shared" si="49"/>
        <v/>
      </c>
      <c r="E366" s="102"/>
      <c r="F366" s="64" t="str">
        <f t="shared" si="52"/>
        <v/>
      </c>
      <c r="G366" s="64" t="str">
        <f t="shared" si="50"/>
        <v/>
      </c>
      <c r="H366" s="101"/>
      <c r="I366" s="101"/>
      <c r="J366" s="101"/>
      <c r="K366" s="112"/>
      <c r="L366" s="111"/>
      <c r="M366" s="111"/>
      <c r="N366" s="112"/>
      <c r="O366" s="235"/>
      <c r="P366" s="68"/>
      <c r="R366" t="str">
        <f t="shared" si="45"/>
        <v/>
      </c>
      <c r="S366" t="str">
        <f t="shared" si="46"/>
        <v/>
      </c>
      <c r="T366" t="str">
        <f t="shared" si="47"/>
        <v/>
      </c>
      <c r="AD366" t="s">
        <v>2125</v>
      </c>
      <c r="AE366" t="s">
        <v>2126</v>
      </c>
      <c r="AF366" t="str">
        <f t="shared" si="51"/>
        <v>A679077</v>
      </c>
      <c r="AG366" t="str">
        <f>VLOOKUP(AF366,AKT!$C$4:$E$324,3,FALSE)</f>
        <v>0942</v>
      </c>
    </row>
    <row r="367" spans="1:33">
      <c r="A367" s="69"/>
      <c r="B367" s="64" t="str">
        <f t="shared" si="48"/>
        <v/>
      </c>
      <c r="C367" s="69"/>
      <c r="D367" s="64" t="str">
        <f t="shared" si="49"/>
        <v/>
      </c>
      <c r="E367" s="102"/>
      <c r="F367" s="64" t="str">
        <f t="shared" si="52"/>
        <v/>
      </c>
      <c r="G367" s="64" t="str">
        <f t="shared" si="50"/>
        <v/>
      </c>
      <c r="H367" s="101"/>
      <c r="I367" s="101"/>
      <c r="J367" s="101"/>
      <c r="K367" s="112"/>
      <c r="L367" s="111"/>
      <c r="M367" s="111"/>
      <c r="N367" s="112"/>
      <c r="O367" s="235"/>
      <c r="P367" s="68"/>
      <c r="R367" t="str">
        <f t="shared" si="45"/>
        <v/>
      </c>
      <c r="S367" t="str">
        <f t="shared" si="46"/>
        <v/>
      </c>
      <c r="T367" t="str">
        <f t="shared" si="47"/>
        <v/>
      </c>
      <c r="AD367" t="s">
        <v>2127</v>
      </c>
      <c r="AE367" t="s">
        <v>2128</v>
      </c>
      <c r="AF367" t="str">
        <f t="shared" si="51"/>
        <v>A679077</v>
      </c>
      <c r="AG367" t="str">
        <f>VLOOKUP(AF367,AKT!$C$4:$E$324,3,FALSE)</f>
        <v>0942</v>
      </c>
    </row>
    <row r="368" spans="1:33">
      <c r="A368" s="69"/>
      <c r="B368" s="64" t="str">
        <f t="shared" si="48"/>
        <v/>
      </c>
      <c r="C368" s="69"/>
      <c r="D368" s="64" t="str">
        <f t="shared" si="49"/>
        <v/>
      </c>
      <c r="E368" s="102"/>
      <c r="F368" s="64" t="str">
        <f t="shared" si="52"/>
        <v/>
      </c>
      <c r="G368" s="64" t="str">
        <f t="shared" si="50"/>
        <v/>
      </c>
      <c r="H368" s="101"/>
      <c r="I368" s="101"/>
      <c r="J368" s="101"/>
      <c r="K368" s="112"/>
      <c r="L368" s="111"/>
      <c r="M368" s="111"/>
      <c r="N368" s="112"/>
      <c r="O368" s="235"/>
      <c r="P368" s="68"/>
      <c r="R368" t="str">
        <f t="shared" si="45"/>
        <v/>
      </c>
      <c r="S368" t="str">
        <f t="shared" si="46"/>
        <v/>
      </c>
      <c r="T368" t="str">
        <f t="shared" si="47"/>
        <v/>
      </c>
      <c r="AD368" t="s">
        <v>2129</v>
      </c>
      <c r="AE368" t="s">
        <v>2130</v>
      </c>
      <c r="AF368" t="str">
        <f t="shared" si="51"/>
        <v>A679077</v>
      </c>
      <c r="AG368" t="str">
        <f>VLOOKUP(AF368,AKT!$C$4:$E$324,3,FALSE)</f>
        <v>0942</v>
      </c>
    </row>
    <row r="369" spans="1:33">
      <c r="A369" s="69"/>
      <c r="B369" s="64" t="str">
        <f t="shared" si="48"/>
        <v/>
      </c>
      <c r="C369" s="69"/>
      <c r="D369" s="64" t="str">
        <f t="shared" si="49"/>
        <v/>
      </c>
      <c r="E369" s="102"/>
      <c r="F369" s="64" t="str">
        <f t="shared" si="52"/>
        <v/>
      </c>
      <c r="G369" s="64" t="str">
        <f t="shared" si="50"/>
        <v/>
      </c>
      <c r="H369" s="101"/>
      <c r="I369" s="101"/>
      <c r="J369" s="101"/>
      <c r="K369" s="112"/>
      <c r="L369" s="111"/>
      <c r="M369" s="111"/>
      <c r="N369" s="112"/>
      <c r="O369" s="235"/>
      <c r="P369" s="68"/>
      <c r="R369" t="str">
        <f t="shared" si="45"/>
        <v/>
      </c>
      <c r="S369" t="str">
        <f t="shared" si="46"/>
        <v/>
      </c>
      <c r="T369" t="str">
        <f t="shared" si="47"/>
        <v/>
      </c>
      <c r="AD369" t="s">
        <v>2131</v>
      </c>
      <c r="AE369" t="s">
        <v>2132</v>
      </c>
      <c r="AF369" t="str">
        <f t="shared" si="51"/>
        <v>A679077</v>
      </c>
      <c r="AG369" t="str">
        <f>VLOOKUP(AF369,AKT!$C$4:$E$324,3,FALSE)</f>
        <v>0942</v>
      </c>
    </row>
    <row r="370" spans="1:33">
      <c r="A370" s="69"/>
      <c r="B370" s="64" t="str">
        <f t="shared" si="48"/>
        <v/>
      </c>
      <c r="C370" s="69"/>
      <c r="D370" s="64" t="str">
        <f t="shared" si="49"/>
        <v/>
      </c>
      <c r="E370" s="102"/>
      <c r="F370" s="64" t="str">
        <f t="shared" si="52"/>
        <v/>
      </c>
      <c r="G370" s="64" t="str">
        <f t="shared" si="50"/>
        <v/>
      </c>
      <c r="H370" s="101"/>
      <c r="I370" s="101"/>
      <c r="J370" s="101"/>
      <c r="K370" s="112"/>
      <c r="L370" s="111"/>
      <c r="M370" s="111"/>
      <c r="N370" s="112"/>
      <c r="O370" s="235"/>
      <c r="P370" s="68"/>
      <c r="R370" t="str">
        <f t="shared" si="45"/>
        <v/>
      </c>
      <c r="S370" t="str">
        <f t="shared" si="46"/>
        <v/>
      </c>
      <c r="T370" t="str">
        <f t="shared" si="47"/>
        <v/>
      </c>
      <c r="AD370" t="s">
        <v>2133</v>
      </c>
      <c r="AE370" t="s">
        <v>2134</v>
      </c>
      <c r="AF370" t="str">
        <f t="shared" si="51"/>
        <v>A679077</v>
      </c>
      <c r="AG370" t="str">
        <f>VLOOKUP(AF370,AKT!$C$4:$E$324,3,FALSE)</f>
        <v>0942</v>
      </c>
    </row>
    <row r="371" spans="1:33">
      <c r="A371" s="69"/>
      <c r="B371" s="64" t="str">
        <f t="shared" si="48"/>
        <v/>
      </c>
      <c r="C371" s="69"/>
      <c r="D371" s="64" t="str">
        <f t="shared" si="49"/>
        <v/>
      </c>
      <c r="E371" s="102"/>
      <c r="F371" s="64" t="str">
        <f t="shared" si="52"/>
        <v/>
      </c>
      <c r="G371" s="64" t="str">
        <f t="shared" si="50"/>
        <v/>
      </c>
      <c r="H371" s="101"/>
      <c r="I371" s="101"/>
      <c r="J371" s="101"/>
      <c r="K371" s="112"/>
      <c r="L371" s="111"/>
      <c r="M371" s="111"/>
      <c r="N371" s="112"/>
      <c r="O371" s="235"/>
      <c r="P371" s="68"/>
      <c r="R371" t="str">
        <f t="shared" si="45"/>
        <v/>
      </c>
      <c r="S371" t="str">
        <f t="shared" si="46"/>
        <v/>
      </c>
      <c r="T371" t="str">
        <f t="shared" si="47"/>
        <v/>
      </c>
      <c r="AD371" t="s">
        <v>2135</v>
      </c>
      <c r="AE371" t="s">
        <v>2136</v>
      </c>
      <c r="AF371" t="str">
        <f t="shared" si="51"/>
        <v>A679077</v>
      </c>
      <c r="AG371" t="str">
        <f>VLOOKUP(AF371,AKT!$C$4:$E$324,3,FALSE)</f>
        <v>0942</v>
      </c>
    </row>
    <row r="372" spans="1:33">
      <c r="A372" s="69"/>
      <c r="B372" s="64" t="str">
        <f t="shared" si="48"/>
        <v/>
      </c>
      <c r="C372" s="69"/>
      <c r="D372" s="64" t="str">
        <f t="shared" si="49"/>
        <v/>
      </c>
      <c r="E372" s="102"/>
      <c r="F372" s="64" t="str">
        <f t="shared" si="52"/>
        <v/>
      </c>
      <c r="G372" s="64" t="str">
        <f t="shared" si="50"/>
        <v/>
      </c>
      <c r="H372" s="101"/>
      <c r="I372" s="101"/>
      <c r="J372" s="101"/>
      <c r="K372" s="112"/>
      <c r="L372" s="111"/>
      <c r="M372" s="111"/>
      <c r="N372" s="112"/>
      <c r="O372" s="235"/>
      <c r="P372" s="68"/>
      <c r="R372" t="str">
        <f t="shared" si="45"/>
        <v/>
      </c>
      <c r="S372" t="str">
        <f t="shared" si="46"/>
        <v/>
      </c>
      <c r="T372" t="str">
        <f t="shared" si="47"/>
        <v/>
      </c>
      <c r="AD372" t="s">
        <v>2137</v>
      </c>
      <c r="AE372" t="s">
        <v>2138</v>
      </c>
      <c r="AF372" t="str">
        <f t="shared" si="51"/>
        <v>A679077</v>
      </c>
      <c r="AG372" t="str">
        <f>VLOOKUP(AF372,AKT!$C$4:$E$324,3,FALSE)</f>
        <v>0942</v>
      </c>
    </row>
    <row r="373" spans="1:33">
      <c r="A373" s="69"/>
      <c r="B373" s="64" t="str">
        <f t="shared" si="48"/>
        <v/>
      </c>
      <c r="C373" s="69"/>
      <c r="D373" s="64" t="str">
        <f t="shared" si="49"/>
        <v/>
      </c>
      <c r="E373" s="102"/>
      <c r="F373" s="64" t="str">
        <f t="shared" si="52"/>
        <v/>
      </c>
      <c r="G373" s="64" t="str">
        <f t="shared" si="50"/>
        <v/>
      </c>
      <c r="H373" s="101"/>
      <c r="I373" s="101"/>
      <c r="J373" s="101"/>
      <c r="K373" s="112"/>
      <c r="L373" s="111"/>
      <c r="M373" s="111"/>
      <c r="N373" s="112"/>
      <c r="O373" s="235"/>
      <c r="P373" s="68"/>
      <c r="R373" t="str">
        <f t="shared" si="45"/>
        <v/>
      </c>
      <c r="S373" t="str">
        <f t="shared" si="46"/>
        <v/>
      </c>
      <c r="T373" t="str">
        <f t="shared" si="47"/>
        <v/>
      </c>
      <c r="AD373" t="s">
        <v>2139</v>
      </c>
      <c r="AE373" t="s">
        <v>2140</v>
      </c>
      <c r="AF373" t="str">
        <f t="shared" si="51"/>
        <v>A679077</v>
      </c>
      <c r="AG373" t="str">
        <f>VLOOKUP(AF373,AKT!$C$4:$E$324,3,FALSE)</f>
        <v>0942</v>
      </c>
    </row>
    <row r="374" spans="1:33">
      <c r="A374" s="69"/>
      <c r="B374" s="64" t="str">
        <f t="shared" si="48"/>
        <v/>
      </c>
      <c r="C374" s="69"/>
      <c r="D374" s="64" t="str">
        <f t="shared" si="49"/>
        <v/>
      </c>
      <c r="E374" s="102"/>
      <c r="F374" s="64" t="str">
        <f t="shared" si="52"/>
        <v/>
      </c>
      <c r="G374" s="64" t="str">
        <f t="shared" si="50"/>
        <v/>
      </c>
      <c r="H374" s="101"/>
      <c r="I374" s="101"/>
      <c r="J374" s="101"/>
      <c r="K374" s="112"/>
      <c r="L374" s="111"/>
      <c r="M374" s="111"/>
      <c r="N374" s="112"/>
      <c r="O374" s="235"/>
      <c r="P374" s="68"/>
      <c r="R374" t="str">
        <f t="shared" si="45"/>
        <v/>
      </c>
      <c r="S374" t="str">
        <f t="shared" si="46"/>
        <v/>
      </c>
      <c r="T374" t="str">
        <f t="shared" si="47"/>
        <v/>
      </c>
      <c r="AD374" t="s">
        <v>2141</v>
      </c>
      <c r="AE374" t="s">
        <v>1432</v>
      </c>
      <c r="AF374" t="str">
        <f t="shared" si="51"/>
        <v>A679077</v>
      </c>
      <c r="AG374" t="str">
        <f>VLOOKUP(AF374,AKT!$C$4:$E$324,3,FALSE)</f>
        <v>0942</v>
      </c>
    </row>
    <row r="375" spans="1:33">
      <c r="A375" s="69"/>
      <c r="B375" s="64" t="str">
        <f t="shared" si="48"/>
        <v/>
      </c>
      <c r="C375" s="69"/>
      <c r="D375" s="64" t="str">
        <f t="shared" si="49"/>
        <v/>
      </c>
      <c r="E375" s="102"/>
      <c r="F375" s="64" t="str">
        <f t="shared" si="52"/>
        <v/>
      </c>
      <c r="G375" s="64" t="str">
        <f t="shared" si="50"/>
        <v/>
      </c>
      <c r="H375" s="101"/>
      <c r="I375" s="101"/>
      <c r="J375" s="101"/>
      <c r="K375" s="112"/>
      <c r="L375" s="111"/>
      <c r="M375" s="111"/>
      <c r="N375" s="112"/>
      <c r="O375" s="235"/>
      <c r="P375" s="68"/>
      <c r="R375" t="str">
        <f t="shared" si="45"/>
        <v/>
      </c>
      <c r="S375" t="str">
        <f t="shared" si="46"/>
        <v/>
      </c>
      <c r="T375" t="str">
        <f t="shared" si="47"/>
        <v/>
      </c>
      <c r="AD375" t="s">
        <v>2142</v>
      </c>
      <c r="AE375" t="s">
        <v>1441</v>
      </c>
      <c r="AF375" t="str">
        <f t="shared" si="51"/>
        <v>A679077</v>
      </c>
      <c r="AG375" t="str">
        <f>VLOOKUP(AF375,AKT!$C$4:$E$324,3,FALSE)</f>
        <v>0942</v>
      </c>
    </row>
    <row r="376" spans="1:33">
      <c r="A376" s="69"/>
      <c r="B376" s="64" t="str">
        <f t="shared" si="48"/>
        <v/>
      </c>
      <c r="C376" s="69"/>
      <c r="D376" s="64" t="str">
        <f t="shared" si="49"/>
        <v/>
      </c>
      <c r="E376" s="102"/>
      <c r="F376" s="64" t="str">
        <f t="shared" si="52"/>
        <v/>
      </c>
      <c r="G376" s="64" t="str">
        <f t="shared" si="50"/>
        <v/>
      </c>
      <c r="H376" s="101"/>
      <c r="I376" s="101"/>
      <c r="J376" s="101"/>
      <c r="K376" s="112"/>
      <c r="L376" s="111"/>
      <c r="M376" s="111"/>
      <c r="N376" s="112"/>
      <c r="O376" s="235"/>
      <c r="P376" s="68"/>
      <c r="R376" t="str">
        <f t="shared" si="45"/>
        <v/>
      </c>
      <c r="S376" t="str">
        <f t="shared" si="46"/>
        <v/>
      </c>
      <c r="T376" t="str">
        <f t="shared" si="47"/>
        <v/>
      </c>
      <c r="AD376" t="s">
        <v>2143</v>
      </c>
      <c r="AE376" t="s">
        <v>2144</v>
      </c>
      <c r="AF376" t="str">
        <f t="shared" si="51"/>
        <v>A679077</v>
      </c>
      <c r="AG376" t="str">
        <f>VLOOKUP(AF376,AKT!$C$4:$E$324,3,FALSE)</f>
        <v>0942</v>
      </c>
    </row>
    <row r="377" spans="1:33">
      <c r="A377" s="69"/>
      <c r="B377" s="64" t="str">
        <f t="shared" si="48"/>
        <v/>
      </c>
      <c r="C377" s="69"/>
      <c r="D377" s="64" t="str">
        <f t="shared" si="49"/>
        <v/>
      </c>
      <c r="E377" s="102"/>
      <c r="F377" s="64" t="str">
        <f t="shared" si="52"/>
        <v/>
      </c>
      <c r="G377" s="64" t="str">
        <f t="shared" si="50"/>
        <v/>
      </c>
      <c r="H377" s="101"/>
      <c r="I377" s="101"/>
      <c r="J377" s="101"/>
      <c r="K377" s="112"/>
      <c r="L377" s="111"/>
      <c r="M377" s="111"/>
      <c r="N377" s="112"/>
      <c r="O377" s="235"/>
      <c r="P377" s="68"/>
      <c r="R377" t="str">
        <f t="shared" si="45"/>
        <v/>
      </c>
      <c r="S377" t="str">
        <f t="shared" si="46"/>
        <v/>
      </c>
      <c r="T377" t="str">
        <f t="shared" si="47"/>
        <v/>
      </c>
      <c r="AD377" t="s">
        <v>2145</v>
      </c>
      <c r="AE377" t="s">
        <v>2146</v>
      </c>
      <c r="AF377" t="str">
        <f t="shared" si="51"/>
        <v>A679077</v>
      </c>
      <c r="AG377" t="str">
        <f>VLOOKUP(AF377,AKT!$C$4:$E$324,3,FALSE)</f>
        <v>0942</v>
      </c>
    </row>
    <row r="378" spans="1:33">
      <c r="A378" s="69"/>
      <c r="B378" s="64" t="str">
        <f t="shared" si="48"/>
        <v/>
      </c>
      <c r="C378" s="69"/>
      <c r="D378" s="64" t="str">
        <f t="shared" si="49"/>
        <v/>
      </c>
      <c r="E378" s="102"/>
      <c r="F378" s="64" t="str">
        <f t="shared" si="52"/>
        <v/>
      </c>
      <c r="G378" s="64" t="str">
        <f t="shared" si="50"/>
        <v/>
      </c>
      <c r="H378" s="101"/>
      <c r="I378" s="101"/>
      <c r="J378" s="101"/>
      <c r="K378" s="112"/>
      <c r="L378" s="111"/>
      <c r="M378" s="111"/>
      <c r="N378" s="112"/>
      <c r="O378" s="235"/>
      <c r="P378" s="68"/>
      <c r="R378" t="str">
        <f t="shared" si="45"/>
        <v/>
      </c>
      <c r="S378" t="str">
        <f t="shared" si="46"/>
        <v/>
      </c>
      <c r="T378" t="str">
        <f t="shared" si="47"/>
        <v/>
      </c>
      <c r="AD378" t="s">
        <v>2147</v>
      </c>
      <c r="AE378" t="s">
        <v>2148</v>
      </c>
      <c r="AF378" t="str">
        <f t="shared" si="51"/>
        <v>A679077</v>
      </c>
      <c r="AG378" t="str">
        <f>VLOOKUP(AF378,AKT!$C$4:$E$324,3,FALSE)</f>
        <v>0942</v>
      </c>
    </row>
    <row r="379" spans="1:33">
      <c r="A379" s="69"/>
      <c r="B379" s="64" t="str">
        <f t="shared" si="48"/>
        <v/>
      </c>
      <c r="C379" s="69"/>
      <c r="D379" s="64" t="str">
        <f t="shared" si="49"/>
        <v/>
      </c>
      <c r="E379" s="102"/>
      <c r="F379" s="64" t="str">
        <f t="shared" si="52"/>
        <v/>
      </c>
      <c r="G379" s="64" t="str">
        <f t="shared" si="50"/>
        <v/>
      </c>
      <c r="H379" s="101"/>
      <c r="I379" s="101"/>
      <c r="J379" s="101"/>
      <c r="K379" s="112"/>
      <c r="L379" s="111"/>
      <c r="M379" s="111"/>
      <c r="N379" s="112"/>
      <c r="O379" s="235"/>
      <c r="P379" s="68"/>
      <c r="R379" t="str">
        <f t="shared" si="45"/>
        <v/>
      </c>
      <c r="S379" t="str">
        <f t="shared" si="46"/>
        <v/>
      </c>
      <c r="T379" t="str">
        <f t="shared" si="47"/>
        <v/>
      </c>
      <c r="AD379" t="s">
        <v>2149</v>
      </c>
      <c r="AE379" t="s">
        <v>2150</v>
      </c>
      <c r="AF379" t="str">
        <f t="shared" si="51"/>
        <v>A679077</v>
      </c>
      <c r="AG379" t="str">
        <f>VLOOKUP(AF379,AKT!$C$4:$E$324,3,FALSE)</f>
        <v>0942</v>
      </c>
    </row>
    <row r="380" spans="1:33">
      <c r="A380" s="69"/>
      <c r="B380" s="64" t="str">
        <f t="shared" si="48"/>
        <v/>
      </c>
      <c r="C380" s="69"/>
      <c r="D380" s="64" t="str">
        <f t="shared" si="49"/>
        <v/>
      </c>
      <c r="E380" s="102"/>
      <c r="F380" s="64" t="str">
        <f t="shared" si="52"/>
        <v/>
      </c>
      <c r="G380" s="64" t="str">
        <f t="shared" si="50"/>
        <v/>
      </c>
      <c r="H380" s="101"/>
      <c r="I380" s="101"/>
      <c r="J380" s="101"/>
      <c r="K380" s="112"/>
      <c r="L380" s="111"/>
      <c r="M380" s="111"/>
      <c r="N380" s="112"/>
      <c r="O380" s="235"/>
      <c r="P380" s="68"/>
      <c r="R380" t="str">
        <f t="shared" si="45"/>
        <v/>
      </c>
      <c r="S380" t="str">
        <f t="shared" si="46"/>
        <v/>
      </c>
      <c r="T380" t="str">
        <f t="shared" si="47"/>
        <v/>
      </c>
      <c r="AD380" t="s">
        <v>2151</v>
      </c>
      <c r="AE380" t="s">
        <v>2152</v>
      </c>
      <c r="AF380" t="str">
        <f t="shared" si="51"/>
        <v>A679077</v>
      </c>
      <c r="AG380" t="str">
        <f>VLOOKUP(AF380,AKT!$C$4:$E$324,3,FALSE)</f>
        <v>0942</v>
      </c>
    </row>
    <row r="381" spans="1:33">
      <c r="A381" s="69"/>
      <c r="B381" s="64" t="str">
        <f t="shared" si="48"/>
        <v/>
      </c>
      <c r="C381" s="69"/>
      <c r="D381" s="64" t="str">
        <f t="shared" si="49"/>
        <v/>
      </c>
      <c r="E381" s="102"/>
      <c r="F381" s="64" t="str">
        <f t="shared" si="52"/>
        <v/>
      </c>
      <c r="G381" s="64" t="str">
        <f t="shared" si="50"/>
        <v/>
      </c>
      <c r="H381" s="101"/>
      <c r="I381" s="101"/>
      <c r="J381" s="101"/>
      <c r="K381" s="112"/>
      <c r="L381" s="111"/>
      <c r="M381" s="111"/>
      <c r="N381" s="112"/>
      <c r="O381" s="235"/>
      <c r="P381" s="68"/>
      <c r="R381" t="str">
        <f t="shared" si="45"/>
        <v/>
      </c>
      <c r="S381" t="str">
        <f t="shared" si="46"/>
        <v/>
      </c>
      <c r="T381" t="str">
        <f t="shared" si="47"/>
        <v/>
      </c>
      <c r="AD381" t="s">
        <v>2153</v>
      </c>
      <c r="AE381" t="s">
        <v>2154</v>
      </c>
      <c r="AF381" t="str">
        <f t="shared" si="51"/>
        <v>A679077</v>
      </c>
      <c r="AG381" t="str">
        <f>VLOOKUP(AF381,AKT!$C$4:$E$324,3,FALSE)</f>
        <v>0942</v>
      </c>
    </row>
    <row r="382" spans="1:33">
      <c r="A382" s="69"/>
      <c r="B382" s="64" t="str">
        <f t="shared" si="48"/>
        <v/>
      </c>
      <c r="C382" s="69"/>
      <c r="D382" s="64" t="str">
        <f t="shared" si="49"/>
        <v/>
      </c>
      <c r="E382" s="102"/>
      <c r="F382" s="64" t="str">
        <f t="shared" si="52"/>
        <v/>
      </c>
      <c r="G382" s="64" t="str">
        <f t="shared" si="50"/>
        <v/>
      </c>
      <c r="H382" s="101"/>
      <c r="I382" s="101"/>
      <c r="J382" s="101"/>
      <c r="K382" s="112"/>
      <c r="L382" s="111"/>
      <c r="M382" s="111"/>
      <c r="N382" s="112"/>
      <c r="O382" s="235"/>
      <c r="P382" s="68"/>
      <c r="R382" t="str">
        <f t="shared" si="45"/>
        <v/>
      </c>
      <c r="S382" t="str">
        <f t="shared" si="46"/>
        <v/>
      </c>
      <c r="T382" t="str">
        <f t="shared" si="47"/>
        <v/>
      </c>
      <c r="AD382" t="s">
        <v>2155</v>
      </c>
      <c r="AE382" t="s">
        <v>2156</v>
      </c>
      <c r="AF382" t="str">
        <f t="shared" si="51"/>
        <v>A679077</v>
      </c>
      <c r="AG382" t="str">
        <f>VLOOKUP(AF382,AKT!$C$4:$E$324,3,FALSE)</f>
        <v>0942</v>
      </c>
    </row>
    <row r="383" spans="1:33">
      <c r="A383" s="69"/>
      <c r="B383" s="64" t="str">
        <f t="shared" si="48"/>
        <v/>
      </c>
      <c r="C383" s="69"/>
      <c r="D383" s="64" t="str">
        <f t="shared" si="49"/>
        <v/>
      </c>
      <c r="E383" s="102"/>
      <c r="F383" s="64" t="str">
        <f t="shared" si="52"/>
        <v/>
      </c>
      <c r="G383" s="64" t="str">
        <f t="shared" si="50"/>
        <v/>
      </c>
      <c r="H383" s="101"/>
      <c r="I383" s="101"/>
      <c r="J383" s="101"/>
      <c r="K383" s="112"/>
      <c r="L383" s="111"/>
      <c r="M383" s="111"/>
      <c r="N383" s="112"/>
      <c r="O383" s="235"/>
      <c r="P383" s="68"/>
      <c r="R383" t="str">
        <f t="shared" ref="R383:R446" si="53">LEFT(C383,3)</f>
        <v/>
      </c>
      <c r="S383" t="str">
        <f t="shared" ref="S383:S446" si="54">LEFT(C383,2)</f>
        <v/>
      </c>
      <c r="T383" t="str">
        <f t="shared" ref="T383:T446" si="55">MID(G383,2,2)</f>
        <v/>
      </c>
      <c r="AD383" t="s">
        <v>2157</v>
      </c>
      <c r="AE383" t="s">
        <v>2158</v>
      </c>
      <c r="AF383" t="str">
        <f t="shared" si="51"/>
        <v>A679077</v>
      </c>
      <c r="AG383" t="str">
        <f>VLOOKUP(AF383,AKT!$C$4:$E$324,3,FALSE)</f>
        <v>0942</v>
      </c>
    </row>
    <row r="384" spans="1:33">
      <c r="A384" s="69"/>
      <c r="B384" s="64" t="str">
        <f t="shared" si="48"/>
        <v/>
      </c>
      <c r="C384" s="69"/>
      <c r="D384" s="64" t="str">
        <f t="shared" si="49"/>
        <v/>
      </c>
      <c r="E384" s="102"/>
      <c r="F384" s="64" t="str">
        <f t="shared" si="52"/>
        <v/>
      </c>
      <c r="G384" s="64" t="str">
        <f t="shared" si="50"/>
        <v/>
      </c>
      <c r="H384" s="101"/>
      <c r="I384" s="101"/>
      <c r="J384" s="101"/>
      <c r="K384" s="112"/>
      <c r="L384" s="111"/>
      <c r="M384" s="111"/>
      <c r="N384" s="112"/>
      <c r="O384" s="235"/>
      <c r="P384" s="68"/>
      <c r="R384" t="str">
        <f t="shared" si="53"/>
        <v/>
      </c>
      <c r="S384" t="str">
        <f t="shared" si="54"/>
        <v/>
      </c>
      <c r="T384" t="str">
        <f t="shared" si="55"/>
        <v/>
      </c>
      <c r="AD384" t="s">
        <v>2159</v>
      </c>
      <c r="AE384" t="s">
        <v>2160</v>
      </c>
      <c r="AF384" t="str">
        <f t="shared" si="51"/>
        <v>A679077</v>
      </c>
      <c r="AG384" t="str">
        <f>VLOOKUP(AF384,AKT!$C$4:$E$324,3,FALSE)</f>
        <v>0942</v>
      </c>
    </row>
    <row r="385" spans="1:33">
      <c r="A385" s="69"/>
      <c r="B385" s="64" t="str">
        <f t="shared" si="48"/>
        <v/>
      </c>
      <c r="C385" s="69"/>
      <c r="D385" s="64" t="str">
        <f t="shared" si="49"/>
        <v/>
      </c>
      <c r="E385" s="102"/>
      <c r="F385" s="64" t="str">
        <f t="shared" si="52"/>
        <v/>
      </c>
      <c r="G385" s="64" t="str">
        <f t="shared" si="50"/>
        <v/>
      </c>
      <c r="H385" s="101"/>
      <c r="I385" s="101"/>
      <c r="J385" s="101"/>
      <c r="K385" s="112"/>
      <c r="L385" s="111"/>
      <c r="M385" s="111"/>
      <c r="N385" s="112"/>
      <c r="O385" s="235"/>
      <c r="P385" s="68"/>
      <c r="R385" t="str">
        <f t="shared" si="53"/>
        <v/>
      </c>
      <c r="S385" t="str">
        <f t="shared" si="54"/>
        <v/>
      </c>
      <c r="T385" t="str">
        <f t="shared" si="55"/>
        <v/>
      </c>
      <c r="AD385" t="s">
        <v>2161</v>
      </c>
      <c r="AE385" t="s">
        <v>2162</v>
      </c>
      <c r="AF385" t="str">
        <f t="shared" si="51"/>
        <v>A679077</v>
      </c>
      <c r="AG385" t="str">
        <f>VLOOKUP(AF385,AKT!$C$4:$E$324,3,FALSE)</f>
        <v>0942</v>
      </c>
    </row>
    <row r="386" spans="1:33">
      <c r="A386" s="69"/>
      <c r="B386" s="64" t="str">
        <f t="shared" si="48"/>
        <v/>
      </c>
      <c r="C386" s="69"/>
      <c r="D386" s="64" t="str">
        <f t="shared" si="49"/>
        <v/>
      </c>
      <c r="E386" s="102"/>
      <c r="F386" s="64" t="str">
        <f t="shared" si="52"/>
        <v/>
      </c>
      <c r="G386" s="64" t="str">
        <f t="shared" si="50"/>
        <v/>
      </c>
      <c r="H386" s="101"/>
      <c r="I386" s="101"/>
      <c r="J386" s="101"/>
      <c r="K386" s="112"/>
      <c r="L386" s="111"/>
      <c r="M386" s="111"/>
      <c r="N386" s="112"/>
      <c r="O386" s="235"/>
      <c r="P386" s="68"/>
      <c r="R386" t="str">
        <f t="shared" si="53"/>
        <v/>
      </c>
      <c r="S386" t="str">
        <f t="shared" si="54"/>
        <v/>
      </c>
      <c r="T386" t="str">
        <f t="shared" si="55"/>
        <v/>
      </c>
      <c r="AD386" t="s">
        <v>2163</v>
      </c>
      <c r="AE386" t="s">
        <v>2164</v>
      </c>
      <c r="AF386" t="str">
        <f t="shared" si="51"/>
        <v>A679077</v>
      </c>
      <c r="AG386" t="str">
        <f>VLOOKUP(AF386,AKT!$C$4:$E$324,3,FALSE)</f>
        <v>0942</v>
      </c>
    </row>
    <row r="387" spans="1:33">
      <c r="A387" s="69"/>
      <c r="B387" s="64" t="str">
        <f t="shared" ref="B387:B450" si="56">IFERROR(VLOOKUP(A387,$U$6:$V$23,2,FALSE),"")</f>
        <v/>
      </c>
      <c r="C387" s="69"/>
      <c r="D387" s="64" t="str">
        <f t="shared" ref="D387:D450" si="57">IFERROR(VLOOKUP(C387,$X$5:$Z$124,2,FALSE),"")</f>
        <v/>
      </c>
      <c r="E387" s="102"/>
      <c r="F387" s="64" t="str">
        <f t="shared" si="52"/>
        <v/>
      </c>
      <c r="G387" s="64" t="str">
        <f t="shared" ref="G387:G450" si="58">IFERROR(VLOOKUP(E387,$AD$6:$AG$1085,4,FALSE),"")</f>
        <v/>
      </c>
      <c r="H387" s="101"/>
      <c r="I387" s="101"/>
      <c r="J387" s="101"/>
      <c r="K387" s="112"/>
      <c r="L387" s="111"/>
      <c r="M387" s="111"/>
      <c r="N387" s="112"/>
      <c r="O387" s="235"/>
      <c r="P387" s="68"/>
      <c r="R387" t="str">
        <f t="shared" si="53"/>
        <v/>
      </c>
      <c r="S387" t="str">
        <f t="shared" si="54"/>
        <v/>
      </c>
      <c r="T387" t="str">
        <f t="shared" si="55"/>
        <v/>
      </c>
      <c r="AD387" t="s">
        <v>2165</v>
      </c>
      <c r="AE387" t="s">
        <v>2166</v>
      </c>
      <c r="AF387" t="str">
        <f t="shared" ref="AF387:AF450" si="59">LEFT(AD387,7)</f>
        <v>A679077</v>
      </c>
      <c r="AG387" t="str">
        <f>VLOOKUP(AF387,AKT!$C$4:$E$324,3,FALSE)</f>
        <v>0942</v>
      </c>
    </row>
    <row r="388" spans="1:33">
      <c r="A388" s="69"/>
      <c r="B388" s="64" t="str">
        <f t="shared" si="56"/>
        <v/>
      </c>
      <c r="C388" s="69"/>
      <c r="D388" s="64" t="str">
        <f t="shared" si="57"/>
        <v/>
      </c>
      <c r="E388" s="102"/>
      <c r="F388" s="64" t="str">
        <f t="shared" si="52"/>
        <v/>
      </c>
      <c r="G388" s="64" t="str">
        <f t="shared" si="58"/>
        <v/>
      </c>
      <c r="H388" s="101"/>
      <c r="I388" s="101"/>
      <c r="J388" s="101"/>
      <c r="K388" s="112"/>
      <c r="L388" s="111"/>
      <c r="M388" s="111"/>
      <c r="N388" s="112"/>
      <c r="O388" s="235"/>
      <c r="P388" s="68"/>
      <c r="R388" t="str">
        <f t="shared" si="53"/>
        <v/>
      </c>
      <c r="S388" t="str">
        <f t="shared" si="54"/>
        <v/>
      </c>
      <c r="T388" t="str">
        <f t="shared" si="55"/>
        <v/>
      </c>
      <c r="AD388" t="s">
        <v>2167</v>
      </c>
      <c r="AE388" t="s">
        <v>2168</v>
      </c>
      <c r="AF388" t="str">
        <f t="shared" si="59"/>
        <v>A679077</v>
      </c>
      <c r="AG388" t="str">
        <f>VLOOKUP(AF388,AKT!$C$4:$E$324,3,FALSE)</f>
        <v>0942</v>
      </c>
    </row>
    <row r="389" spans="1:33">
      <c r="A389" s="69"/>
      <c r="B389" s="64" t="str">
        <f t="shared" si="56"/>
        <v/>
      </c>
      <c r="C389" s="69"/>
      <c r="D389" s="64" t="str">
        <f t="shared" si="57"/>
        <v/>
      </c>
      <c r="E389" s="102"/>
      <c r="F389" s="64" t="str">
        <f t="shared" si="52"/>
        <v/>
      </c>
      <c r="G389" s="64" t="str">
        <f t="shared" si="58"/>
        <v/>
      </c>
      <c r="H389" s="101"/>
      <c r="I389" s="101"/>
      <c r="J389" s="101"/>
      <c r="K389" s="112"/>
      <c r="L389" s="111"/>
      <c r="M389" s="111"/>
      <c r="N389" s="112"/>
      <c r="O389" s="235"/>
      <c r="P389" s="68"/>
      <c r="R389" t="str">
        <f t="shared" si="53"/>
        <v/>
      </c>
      <c r="S389" t="str">
        <f t="shared" si="54"/>
        <v/>
      </c>
      <c r="T389" t="str">
        <f t="shared" si="55"/>
        <v/>
      </c>
      <c r="AD389" t="s">
        <v>2169</v>
      </c>
      <c r="AE389" t="s">
        <v>2170</v>
      </c>
      <c r="AF389" t="str">
        <f t="shared" si="59"/>
        <v>A679077</v>
      </c>
      <c r="AG389" t="str">
        <f>VLOOKUP(AF389,AKT!$C$4:$E$324,3,FALSE)</f>
        <v>0942</v>
      </c>
    </row>
    <row r="390" spans="1:33">
      <c r="A390" s="69"/>
      <c r="B390" s="64" t="str">
        <f t="shared" si="56"/>
        <v/>
      </c>
      <c r="C390" s="69"/>
      <c r="D390" s="64" t="str">
        <f t="shared" si="57"/>
        <v/>
      </c>
      <c r="E390" s="102"/>
      <c r="F390" s="64" t="str">
        <f t="shared" si="52"/>
        <v/>
      </c>
      <c r="G390" s="64" t="str">
        <f t="shared" si="58"/>
        <v/>
      </c>
      <c r="H390" s="101"/>
      <c r="I390" s="101"/>
      <c r="J390" s="101"/>
      <c r="K390" s="112"/>
      <c r="L390" s="111"/>
      <c r="M390" s="111"/>
      <c r="N390" s="112"/>
      <c r="O390" s="235"/>
      <c r="P390" s="68"/>
      <c r="R390" t="str">
        <f t="shared" si="53"/>
        <v/>
      </c>
      <c r="S390" t="str">
        <f t="shared" si="54"/>
        <v/>
      </c>
      <c r="T390" t="str">
        <f t="shared" si="55"/>
        <v/>
      </c>
      <c r="AD390" t="s">
        <v>2171</v>
      </c>
      <c r="AE390" t="s">
        <v>2172</v>
      </c>
      <c r="AF390" t="str">
        <f t="shared" si="59"/>
        <v>A679077</v>
      </c>
      <c r="AG390" t="str">
        <f>VLOOKUP(AF390,AKT!$C$4:$E$324,3,FALSE)</f>
        <v>0942</v>
      </c>
    </row>
    <row r="391" spans="1:33">
      <c r="A391" s="69"/>
      <c r="B391" s="64" t="str">
        <f t="shared" si="56"/>
        <v/>
      </c>
      <c r="C391" s="69"/>
      <c r="D391" s="64" t="str">
        <f t="shared" si="57"/>
        <v/>
      </c>
      <c r="E391" s="102"/>
      <c r="F391" s="64" t="str">
        <f t="shared" si="52"/>
        <v/>
      </c>
      <c r="G391" s="64" t="str">
        <f t="shared" si="58"/>
        <v/>
      </c>
      <c r="H391" s="101"/>
      <c r="I391" s="101"/>
      <c r="J391" s="101"/>
      <c r="K391" s="112"/>
      <c r="L391" s="111"/>
      <c r="M391" s="111"/>
      <c r="N391" s="112"/>
      <c r="O391" s="235"/>
      <c r="P391" s="68"/>
      <c r="R391" t="str">
        <f t="shared" si="53"/>
        <v/>
      </c>
      <c r="S391" t="str">
        <f t="shared" si="54"/>
        <v/>
      </c>
      <c r="T391" t="str">
        <f t="shared" si="55"/>
        <v/>
      </c>
      <c r="AD391" t="s">
        <v>2173</v>
      </c>
      <c r="AE391" t="s">
        <v>2174</v>
      </c>
      <c r="AF391" t="str">
        <f t="shared" si="59"/>
        <v>A679077</v>
      </c>
      <c r="AG391" t="str">
        <f>VLOOKUP(AF391,AKT!$C$4:$E$324,3,FALSE)</f>
        <v>0942</v>
      </c>
    </row>
    <row r="392" spans="1:33">
      <c r="A392" s="69"/>
      <c r="B392" s="64" t="str">
        <f t="shared" si="56"/>
        <v/>
      </c>
      <c r="C392" s="69"/>
      <c r="D392" s="64" t="str">
        <f t="shared" si="57"/>
        <v/>
      </c>
      <c r="E392" s="102"/>
      <c r="F392" s="64" t="str">
        <f t="shared" si="52"/>
        <v/>
      </c>
      <c r="G392" s="64" t="str">
        <f t="shared" si="58"/>
        <v/>
      </c>
      <c r="H392" s="101"/>
      <c r="I392" s="101"/>
      <c r="J392" s="101"/>
      <c r="K392" s="112"/>
      <c r="L392" s="111"/>
      <c r="M392" s="111"/>
      <c r="N392" s="112"/>
      <c r="O392" s="235"/>
      <c r="P392" s="68"/>
      <c r="R392" t="str">
        <f t="shared" si="53"/>
        <v/>
      </c>
      <c r="S392" t="str">
        <f t="shared" si="54"/>
        <v/>
      </c>
      <c r="T392" t="str">
        <f t="shared" si="55"/>
        <v/>
      </c>
      <c r="AD392" t="s">
        <v>2175</v>
      </c>
      <c r="AE392" t="s">
        <v>2176</v>
      </c>
      <c r="AF392" t="str">
        <f t="shared" si="59"/>
        <v>A679077</v>
      </c>
      <c r="AG392" t="str">
        <f>VLOOKUP(AF392,AKT!$C$4:$E$324,3,FALSE)</f>
        <v>0942</v>
      </c>
    </row>
    <row r="393" spans="1:33">
      <c r="A393" s="69"/>
      <c r="B393" s="64" t="str">
        <f t="shared" si="56"/>
        <v/>
      </c>
      <c r="C393" s="69"/>
      <c r="D393" s="64" t="str">
        <f t="shared" si="57"/>
        <v/>
      </c>
      <c r="E393" s="102"/>
      <c r="F393" s="64" t="str">
        <f t="shared" si="52"/>
        <v/>
      </c>
      <c r="G393" s="64" t="str">
        <f t="shared" si="58"/>
        <v/>
      </c>
      <c r="H393" s="101"/>
      <c r="I393" s="101"/>
      <c r="J393" s="101"/>
      <c r="K393" s="112"/>
      <c r="L393" s="111"/>
      <c r="M393" s="111"/>
      <c r="N393" s="112"/>
      <c r="O393" s="235"/>
      <c r="P393" s="68"/>
      <c r="R393" t="str">
        <f t="shared" si="53"/>
        <v/>
      </c>
      <c r="S393" t="str">
        <f t="shared" si="54"/>
        <v/>
      </c>
      <c r="T393" t="str">
        <f t="shared" si="55"/>
        <v/>
      </c>
      <c r="AD393" t="s">
        <v>2177</v>
      </c>
      <c r="AE393" t="s">
        <v>2178</v>
      </c>
      <c r="AF393" t="str">
        <f t="shared" si="59"/>
        <v>A679077</v>
      </c>
      <c r="AG393" t="str">
        <f>VLOOKUP(AF393,AKT!$C$4:$E$324,3,FALSE)</f>
        <v>0942</v>
      </c>
    </row>
    <row r="394" spans="1:33">
      <c r="A394" s="69"/>
      <c r="B394" s="64" t="str">
        <f t="shared" si="56"/>
        <v/>
      </c>
      <c r="C394" s="69"/>
      <c r="D394" s="64" t="str">
        <f t="shared" si="57"/>
        <v/>
      </c>
      <c r="E394" s="102"/>
      <c r="F394" s="64" t="str">
        <f t="shared" si="52"/>
        <v/>
      </c>
      <c r="G394" s="64" t="str">
        <f t="shared" si="58"/>
        <v/>
      </c>
      <c r="H394" s="101"/>
      <c r="I394" s="101"/>
      <c r="J394" s="101"/>
      <c r="K394" s="112"/>
      <c r="L394" s="111"/>
      <c r="M394" s="111"/>
      <c r="N394" s="112"/>
      <c r="O394" s="235"/>
      <c r="P394" s="68"/>
      <c r="R394" t="str">
        <f t="shared" si="53"/>
        <v/>
      </c>
      <c r="S394" t="str">
        <f t="shared" si="54"/>
        <v/>
      </c>
      <c r="T394" t="str">
        <f t="shared" si="55"/>
        <v/>
      </c>
      <c r="AD394" t="s">
        <v>2179</v>
      </c>
      <c r="AE394" t="s">
        <v>2180</v>
      </c>
      <c r="AF394" t="str">
        <f t="shared" si="59"/>
        <v>A679077</v>
      </c>
      <c r="AG394" t="str">
        <f>VLOOKUP(AF394,AKT!$C$4:$E$324,3,FALSE)</f>
        <v>0942</v>
      </c>
    </row>
    <row r="395" spans="1:33">
      <c r="A395" s="69"/>
      <c r="B395" s="64" t="str">
        <f t="shared" si="56"/>
        <v/>
      </c>
      <c r="C395" s="69"/>
      <c r="D395" s="64" t="str">
        <f t="shared" si="57"/>
        <v/>
      </c>
      <c r="E395" s="102"/>
      <c r="F395" s="64" t="str">
        <f t="shared" si="52"/>
        <v/>
      </c>
      <c r="G395" s="64" t="str">
        <f t="shared" si="58"/>
        <v/>
      </c>
      <c r="H395" s="101"/>
      <c r="I395" s="101"/>
      <c r="J395" s="101"/>
      <c r="K395" s="112"/>
      <c r="L395" s="111"/>
      <c r="M395" s="111"/>
      <c r="N395" s="112"/>
      <c r="O395" s="235"/>
      <c r="P395" s="68"/>
      <c r="R395" t="str">
        <f t="shared" si="53"/>
        <v/>
      </c>
      <c r="S395" t="str">
        <f t="shared" si="54"/>
        <v/>
      </c>
      <c r="T395" t="str">
        <f t="shared" si="55"/>
        <v/>
      </c>
      <c r="AD395" t="s">
        <v>2181</v>
      </c>
      <c r="AE395" t="s">
        <v>2182</v>
      </c>
      <c r="AF395" t="str">
        <f t="shared" si="59"/>
        <v>A679077</v>
      </c>
      <c r="AG395" t="str">
        <f>VLOOKUP(AF395,AKT!$C$4:$E$324,3,FALSE)</f>
        <v>0942</v>
      </c>
    </row>
    <row r="396" spans="1:33">
      <c r="A396" s="69"/>
      <c r="B396" s="64" t="str">
        <f t="shared" si="56"/>
        <v/>
      </c>
      <c r="C396" s="69"/>
      <c r="D396" s="64" t="str">
        <f t="shared" si="57"/>
        <v/>
      </c>
      <c r="E396" s="102"/>
      <c r="F396" s="64" t="str">
        <f t="shared" si="52"/>
        <v/>
      </c>
      <c r="G396" s="64" t="str">
        <f t="shared" si="58"/>
        <v/>
      </c>
      <c r="H396" s="101"/>
      <c r="I396" s="101"/>
      <c r="J396" s="101"/>
      <c r="K396" s="112"/>
      <c r="L396" s="111"/>
      <c r="M396" s="111"/>
      <c r="N396" s="112"/>
      <c r="O396" s="235"/>
      <c r="P396" s="68"/>
      <c r="R396" t="str">
        <f t="shared" si="53"/>
        <v/>
      </c>
      <c r="S396" t="str">
        <f t="shared" si="54"/>
        <v/>
      </c>
      <c r="T396" t="str">
        <f t="shared" si="55"/>
        <v/>
      </c>
      <c r="AD396" t="s">
        <v>2183</v>
      </c>
      <c r="AE396" t="s">
        <v>2184</v>
      </c>
      <c r="AF396" t="str">
        <f t="shared" si="59"/>
        <v>A679077</v>
      </c>
      <c r="AG396" t="str">
        <f>VLOOKUP(AF396,AKT!$C$4:$E$324,3,FALSE)</f>
        <v>0942</v>
      </c>
    </row>
    <row r="397" spans="1:33">
      <c r="A397" s="69"/>
      <c r="B397" s="64" t="str">
        <f t="shared" si="56"/>
        <v/>
      </c>
      <c r="C397" s="69"/>
      <c r="D397" s="64" t="str">
        <f t="shared" si="57"/>
        <v/>
      </c>
      <c r="E397" s="102"/>
      <c r="F397" s="64" t="str">
        <f t="shared" si="52"/>
        <v/>
      </c>
      <c r="G397" s="64" t="str">
        <f t="shared" si="58"/>
        <v/>
      </c>
      <c r="H397" s="101"/>
      <c r="I397" s="101"/>
      <c r="J397" s="101"/>
      <c r="K397" s="112"/>
      <c r="L397" s="111"/>
      <c r="M397" s="111"/>
      <c r="N397" s="112"/>
      <c r="O397" s="235"/>
      <c r="P397" s="68"/>
      <c r="R397" t="str">
        <f t="shared" si="53"/>
        <v/>
      </c>
      <c r="S397" t="str">
        <f t="shared" si="54"/>
        <v/>
      </c>
      <c r="T397" t="str">
        <f t="shared" si="55"/>
        <v/>
      </c>
      <c r="AD397" t="s">
        <v>2185</v>
      </c>
      <c r="AE397" t="s">
        <v>2186</v>
      </c>
      <c r="AF397" t="str">
        <f t="shared" si="59"/>
        <v>A679077</v>
      </c>
      <c r="AG397" t="str">
        <f>VLOOKUP(AF397,AKT!$C$4:$E$324,3,FALSE)</f>
        <v>0942</v>
      </c>
    </row>
    <row r="398" spans="1:33">
      <c r="A398" s="69"/>
      <c r="B398" s="64" t="str">
        <f t="shared" si="56"/>
        <v/>
      </c>
      <c r="C398" s="69"/>
      <c r="D398" s="64" t="str">
        <f t="shared" si="57"/>
        <v/>
      </c>
      <c r="E398" s="102"/>
      <c r="F398" s="64" t="str">
        <f t="shared" si="52"/>
        <v/>
      </c>
      <c r="G398" s="64" t="str">
        <f t="shared" si="58"/>
        <v/>
      </c>
      <c r="H398" s="101"/>
      <c r="I398" s="101"/>
      <c r="J398" s="101"/>
      <c r="K398" s="112"/>
      <c r="L398" s="111"/>
      <c r="M398" s="111"/>
      <c r="N398" s="112"/>
      <c r="O398" s="235"/>
      <c r="P398" s="68"/>
      <c r="R398" t="str">
        <f t="shared" si="53"/>
        <v/>
      </c>
      <c r="S398" t="str">
        <f t="shared" si="54"/>
        <v/>
      </c>
      <c r="T398" t="str">
        <f t="shared" si="55"/>
        <v/>
      </c>
      <c r="AD398" t="s">
        <v>2187</v>
      </c>
      <c r="AE398" t="s">
        <v>2188</v>
      </c>
      <c r="AF398" t="str">
        <f t="shared" si="59"/>
        <v>A679077</v>
      </c>
      <c r="AG398" t="str">
        <f>VLOOKUP(AF398,AKT!$C$4:$E$324,3,FALSE)</f>
        <v>0942</v>
      </c>
    </row>
    <row r="399" spans="1:33">
      <c r="A399" s="69"/>
      <c r="B399" s="64" t="str">
        <f t="shared" si="56"/>
        <v/>
      </c>
      <c r="C399" s="69"/>
      <c r="D399" s="64" t="str">
        <f t="shared" si="57"/>
        <v/>
      </c>
      <c r="E399" s="102"/>
      <c r="F399" s="64" t="str">
        <f t="shared" si="52"/>
        <v/>
      </c>
      <c r="G399" s="64" t="str">
        <f t="shared" si="58"/>
        <v/>
      </c>
      <c r="H399" s="101"/>
      <c r="I399" s="101"/>
      <c r="J399" s="101"/>
      <c r="K399" s="112"/>
      <c r="L399" s="111"/>
      <c r="M399" s="111"/>
      <c r="N399" s="112"/>
      <c r="O399" s="235"/>
      <c r="P399" s="68"/>
      <c r="R399" t="str">
        <f t="shared" si="53"/>
        <v/>
      </c>
      <c r="S399" t="str">
        <f t="shared" si="54"/>
        <v/>
      </c>
      <c r="T399" t="str">
        <f t="shared" si="55"/>
        <v/>
      </c>
      <c r="AD399" t="s">
        <v>2189</v>
      </c>
      <c r="AE399" t="s">
        <v>2190</v>
      </c>
      <c r="AF399" t="str">
        <f t="shared" si="59"/>
        <v>A679077</v>
      </c>
      <c r="AG399" t="str">
        <f>VLOOKUP(AF399,AKT!$C$4:$E$324,3,FALSE)</f>
        <v>0942</v>
      </c>
    </row>
    <row r="400" spans="1:33">
      <c r="A400" s="69"/>
      <c r="B400" s="64" t="str">
        <f t="shared" si="56"/>
        <v/>
      </c>
      <c r="C400" s="69"/>
      <c r="D400" s="64" t="str">
        <f t="shared" si="57"/>
        <v/>
      </c>
      <c r="E400" s="102"/>
      <c r="F400" s="64" t="str">
        <f t="shared" si="52"/>
        <v/>
      </c>
      <c r="G400" s="64" t="str">
        <f t="shared" si="58"/>
        <v/>
      </c>
      <c r="H400" s="101"/>
      <c r="I400" s="101"/>
      <c r="J400" s="101"/>
      <c r="K400" s="112"/>
      <c r="L400" s="111"/>
      <c r="M400" s="111"/>
      <c r="N400" s="112"/>
      <c r="O400" s="235"/>
      <c r="P400" s="68"/>
      <c r="R400" t="str">
        <f t="shared" si="53"/>
        <v/>
      </c>
      <c r="S400" t="str">
        <f t="shared" si="54"/>
        <v/>
      </c>
      <c r="T400" t="str">
        <f t="shared" si="55"/>
        <v/>
      </c>
      <c r="AD400" t="s">
        <v>2191</v>
      </c>
      <c r="AE400" t="s">
        <v>2192</v>
      </c>
      <c r="AF400" t="str">
        <f t="shared" si="59"/>
        <v>A679077</v>
      </c>
      <c r="AG400" t="str">
        <f>VLOOKUP(AF400,AKT!$C$4:$E$324,3,FALSE)</f>
        <v>0942</v>
      </c>
    </row>
    <row r="401" spans="1:33">
      <c r="A401" s="69"/>
      <c r="B401" s="64" t="str">
        <f t="shared" si="56"/>
        <v/>
      </c>
      <c r="C401" s="69"/>
      <c r="D401" s="64" t="str">
        <f t="shared" si="57"/>
        <v/>
      </c>
      <c r="E401" s="102"/>
      <c r="F401" s="64" t="str">
        <f t="shared" si="52"/>
        <v/>
      </c>
      <c r="G401" s="64" t="str">
        <f t="shared" si="58"/>
        <v/>
      </c>
      <c r="H401" s="101"/>
      <c r="I401" s="101"/>
      <c r="J401" s="101"/>
      <c r="K401" s="112"/>
      <c r="L401" s="111"/>
      <c r="M401" s="111"/>
      <c r="N401" s="112"/>
      <c r="O401" s="235"/>
      <c r="P401" s="68"/>
      <c r="R401" t="str">
        <f t="shared" si="53"/>
        <v/>
      </c>
      <c r="S401" t="str">
        <f t="shared" si="54"/>
        <v/>
      </c>
      <c r="T401" t="str">
        <f t="shared" si="55"/>
        <v/>
      </c>
      <c r="AD401" t="s">
        <v>2193</v>
      </c>
      <c r="AE401" t="s">
        <v>2194</v>
      </c>
      <c r="AF401" t="str">
        <f t="shared" si="59"/>
        <v>A679077</v>
      </c>
      <c r="AG401" t="str">
        <f>VLOOKUP(AF401,AKT!$C$4:$E$324,3,FALSE)</f>
        <v>0942</v>
      </c>
    </row>
    <row r="402" spans="1:33">
      <c r="A402" s="69"/>
      <c r="B402" s="64" t="str">
        <f t="shared" si="56"/>
        <v/>
      </c>
      <c r="C402" s="69"/>
      <c r="D402" s="64" t="str">
        <f t="shared" si="57"/>
        <v/>
      </c>
      <c r="E402" s="102"/>
      <c r="F402" s="64" t="str">
        <f t="shared" si="52"/>
        <v/>
      </c>
      <c r="G402" s="64" t="str">
        <f t="shared" si="58"/>
        <v/>
      </c>
      <c r="H402" s="101"/>
      <c r="I402" s="101"/>
      <c r="J402" s="101"/>
      <c r="K402" s="112"/>
      <c r="L402" s="111"/>
      <c r="M402" s="111"/>
      <c r="N402" s="112"/>
      <c r="O402" s="235"/>
      <c r="P402" s="68"/>
      <c r="R402" t="str">
        <f t="shared" si="53"/>
        <v/>
      </c>
      <c r="S402" t="str">
        <f t="shared" si="54"/>
        <v/>
      </c>
      <c r="T402" t="str">
        <f t="shared" si="55"/>
        <v/>
      </c>
      <c r="AD402" t="s">
        <v>2195</v>
      </c>
      <c r="AE402" t="s">
        <v>2196</v>
      </c>
      <c r="AF402" t="str">
        <f t="shared" si="59"/>
        <v>A679077</v>
      </c>
      <c r="AG402" t="str">
        <f>VLOOKUP(AF402,AKT!$C$4:$E$324,3,FALSE)</f>
        <v>0942</v>
      </c>
    </row>
    <row r="403" spans="1:33">
      <c r="A403" s="69"/>
      <c r="B403" s="64" t="str">
        <f t="shared" si="56"/>
        <v/>
      </c>
      <c r="C403" s="69"/>
      <c r="D403" s="64" t="str">
        <f t="shared" si="57"/>
        <v/>
      </c>
      <c r="E403" s="102"/>
      <c r="F403" s="64" t="str">
        <f t="shared" si="52"/>
        <v/>
      </c>
      <c r="G403" s="64" t="str">
        <f t="shared" si="58"/>
        <v/>
      </c>
      <c r="H403" s="101"/>
      <c r="I403" s="101"/>
      <c r="J403" s="101"/>
      <c r="K403" s="112"/>
      <c r="L403" s="111"/>
      <c r="M403" s="111"/>
      <c r="N403" s="112"/>
      <c r="O403" s="235"/>
      <c r="P403" s="68"/>
      <c r="R403" t="str">
        <f t="shared" si="53"/>
        <v/>
      </c>
      <c r="S403" t="str">
        <f t="shared" si="54"/>
        <v/>
      </c>
      <c r="T403" t="str">
        <f t="shared" si="55"/>
        <v/>
      </c>
      <c r="AD403" t="s">
        <v>2197</v>
      </c>
      <c r="AE403" t="s">
        <v>2198</v>
      </c>
      <c r="AF403" t="str">
        <f t="shared" si="59"/>
        <v>A679077</v>
      </c>
      <c r="AG403" t="str">
        <f>VLOOKUP(AF403,AKT!$C$4:$E$324,3,FALSE)</f>
        <v>0942</v>
      </c>
    </row>
    <row r="404" spans="1:33">
      <c r="A404" s="69"/>
      <c r="B404" s="64" t="str">
        <f t="shared" si="56"/>
        <v/>
      </c>
      <c r="C404" s="69"/>
      <c r="D404" s="64" t="str">
        <f t="shared" si="57"/>
        <v/>
      </c>
      <c r="E404" s="102"/>
      <c r="F404" s="64" t="str">
        <f t="shared" si="52"/>
        <v/>
      </c>
      <c r="G404" s="64" t="str">
        <f t="shared" si="58"/>
        <v/>
      </c>
      <c r="H404" s="101"/>
      <c r="I404" s="101"/>
      <c r="J404" s="101"/>
      <c r="K404" s="112"/>
      <c r="L404" s="111"/>
      <c r="M404" s="111"/>
      <c r="N404" s="112"/>
      <c r="O404" s="235"/>
      <c r="P404" s="68"/>
      <c r="R404" t="str">
        <f t="shared" si="53"/>
        <v/>
      </c>
      <c r="S404" t="str">
        <f t="shared" si="54"/>
        <v/>
      </c>
      <c r="T404" t="str">
        <f t="shared" si="55"/>
        <v/>
      </c>
      <c r="AD404" t="s">
        <v>2199</v>
      </c>
      <c r="AE404" t="s">
        <v>2200</v>
      </c>
      <c r="AF404" t="str">
        <f t="shared" si="59"/>
        <v>A679077</v>
      </c>
      <c r="AG404" t="str">
        <f>VLOOKUP(AF404,AKT!$C$4:$E$324,3,FALSE)</f>
        <v>0942</v>
      </c>
    </row>
    <row r="405" spans="1:33">
      <c r="A405" s="69"/>
      <c r="B405" s="64" t="str">
        <f t="shared" si="56"/>
        <v/>
      </c>
      <c r="C405" s="69"/>
      <c r="D405" s="64" t="str">
        <f t="shared" si="57"/>
        <v/>
      </c>
      <c r="E405" s="102"/>
      <c r="F405" s="64" t="str">
        <f t="shared" si="52"/>
        <v/>
      </c>
      <c r="G405" s="64" t="str">
        <f t="shared" si="58"/>
        <v/>
      </c>
      <c r="H405" s="101"/>
      <c r="I405" s="101"/>
      <c r="J405" s="101"/>
      <c r="K405" s="112"/>
      <c r="L405" s="111"/>
      <c r="M405" s="111"/>
      <c r="N405" s="112"/>
      <c r="O405" s="235"/>
      <c r="P405" s="68"/>
      <c r="R405" t="str">
        <f t="shared" si="53"/>
        <v/>
      </c>
      <c r="S405" t="str">
        <f t="shared" si="54"/>
        <v/>
      </c>
      <c r="T405" t="str">
        <f t="shared" si="55"/>
        <v/>
      </c>
      <c r="AD405" t="s">
        <v>2201</v>
      </c>
      <c r="AE405" t="s">
        <v>2202</v>
      </c>
      <c r="AF405" t="str">
        <f t="shared" si="59"/>
        <v>A679077</v>
      </c>
      <c r="AG405" t="str">
        <f>VLOOKUP(AF405,AKT!$C$4:$E$324,3,FALSE)</f>
        <v>0942</v>
      </c>
    </row>
    <row r="406" spans="1:33">
      <c r="A406" s="69"/>
      <c r="B406" s="64" t="str">
        <f t="shared" si="56"/>
        <v/>
      </c>
      <c r="C406" s="69"/>
      <c r="D406" s="64" t="str">
        <f t="shared" si="57"/>
        <v/>
      </c>
      <c r="E406" s="102"/>
      <c r="F406" s="64" t="str">
        <f t="shared" si="52"/>
        <v/>
      </c>
      <c r="G406" s="64" t="str">
        <f t="shared" si="58"/>
        <v/>
      </c>
      <c r="H406" s="101"/>
      <c r="I406" s="101"/>
      <c r="J406" s="101"/>
      <c r="K406" s="112"/>
      <c r="L406" s="111"/>
      <c r="M406" s="111"/>
      <c r="N406" s="112"/>
      <c r="O406" s="235"/>
      <c r="P406" s="68"/>
      <c r="R406" t="str">
        <f t="shared" si="53"/>
        <v/>
      </c>
      <c r="S406" t="str">
        <f t="shared" si="54"/>
        <v/>
      </c>
      <c r="T406" t="str">
        <f t="shared" si="55"/>
        <v/>
      </c>
      <c r="AD406" t="s">
        <v>2203</v>
      </c>
      <c r="AE406" t="s">
        <v>2204</v>
      </c>
      <c r="AF406" t="str">
        <f t="shared" si="59"/>
        <v>A679077</v>
      </c>
      <c r="AG406" t="str">
        <f>VLOOKUP(AF406,AKT!$C$4:$E$324,3,FALSE)</f>
        <v>0942</v>
      </c>
    </row>
    <row r="407" spans="1:33">
      <c r="A407" s="69"/>
      <c r="B407" s="64" t="str">
        <f t="shared" si="56"/>
        <v/>
      </c>
      <c r="C407" s="69"/>
      <c r="D407" s="64" t="str">
        <f t="shared" si="57"/>
        <v/>
      </c>
      <c r="E407" s="102"/>
      <c r="F407" s="64" t="str">
        <f t="shared" si="52"/>
        <v/>
      </c>
      <c r="G407" s="64" t="str">
        <f t="shared" si="58"/>
        <v/>
      </c>
      <c r="H407" s="101"/>
      <c r="I407" s="101"/>
      <c r="J407" s="101"/>
      <c r="K407" s="112"/>
      <c r="L407" s="111"/>
      <c r="M407" s="111"/>
      <c r="N407" s="112"/>
      <c r="O407" s="235"/>
      <c r="P407" s="68"/>
      <c r="R407" t="str">
        <f t="shared" si="53"/>
        <v/>
      </c>
      <c r="S407" t="str">
        <f t="shared" si="54"/>
        <v/>
      </c>
      <c r="T407" t="str">
        <f t="shared" si="55"/>
        <v/>
      </c>
      <c r="AD407" t="s">
        <v>2205</v>
      </c>
      <c r="AE407" t="s">
        <v>2206</v>
      </c>
      <c r="AF407" t="str">
        <f t="shared" si="59"/>
        <v>A679077</v>
      </c>
      <c r="AG407" t="str">
        <f>VLOOKUP(AF407,AKT!$C$4:$E$324,3,FALSE)</f>
        <v>0942</v>
      </c>
    </row>
    <row r="408" spans="1:33">
      <c r="A408" s="69"/>
      <c r="B408" s="64" t="str">
        <f t="shared" si="56"/>
        <v/>
      </c>
      <c r="C408" s="69"/>
      <c r="D408" s="64" t="str">
        <f t="shared" si="57"/>
        <v/>
      </c>
      <c r="E408" s="102"/>
      <c r="F408" s="64" t="str">
        <f t="shared" si="52"/>
        <v/>
      </c>
      <c r="G408" s="64" t="str">
        <f t="shared" si="58"/>
        <v/>
      </c>
      <c r="H408" s="101"/>
      <c r="I408" s="101"/>
      <c r="J408" s="101"/>
      <c r="K408" s="112"/>
      <c r="L408" s="111"/>
      <c r="M408" s="111"/>
      <c r="N408" s="112"/>
      <c r="O408" s="235"/>
      <c r="P408" s="68"/>
      <c r="R408" t="str">
        <f t="shared" si="53"/>
        <v/>
      </c>
      <c r="S408" t="str">
        <f t="shared" si="54"/>
        <v/>
      </c>
      <c r="T408" t="str">
        <f t="shared" si="55"/>
        <v/>
      </c>
      <c r="AD408" t="s">
        <v>2207</v>
      </c>
      <c r="AE408" t="s">
        <v>2208</v>
      </c>
      <c r="AF408" t="str">
        <f t="shared" si="59"/>
        <v>A679077</v>
      </c>
      <c r="AG408" t="str">
        <f>VLOOKUP(AF408,AKT!$C$4:$E$324,3,FALSE)</f>
        <v>0942</v>
      </c>
    </row>
    <row r="409" spans="1:33">
      <c r="A409" s="69"/>
      <c r="B409" s="64" t="str">
        <f t="shared" si="56"/>
        <v/>
      </c>
      <c r="C409" s="69"/>
      <c r="D409" s="64" t="str">
        <f t="shared" si="57"/>
        <v/>
      </c>
      <c r="E409" s="102"/>
      <c r="F409" s="64" t="str">
        <f t="shared" si="52"/>
        <v/>
      </c>
      <c r="G409" s="64" t="str">
        <f t="shared" si="58"/>
        <v/>
      </c>
      <c r="H409" s="101"/>
      <c r="I409" s="101"/>
      <c r="J409" s="101"/>
      <c r="K409" s="112"/>
      <c r="L409" s="111"/>
      <c r="M409" s="111"/>
      <c r="N409" s="112"/>
      <c r="O409" s="235"/>
      <c r="P409" s="68"/>
      <c r="R409" t="str">
        <f t="shared" si="53"/>
        <v/>
      </c>
      <c r="S409" t="str">
        <f t="shared" si="54"/>
        <v/>
      </c>
      <c r="T409" t="str">
        <f t="shared" si="55"/>
        <v/>
      </c>
      <c r="AD409" t="s">
        <v>2209</v>
      </c>
      <c r="AE409" t="s">
        <v>2210</v>
      </c>
      <c r="AF409" t="str">
        <f t="shared" si="59"/>
        <v>A679077</v>
      </c>
      <c r="AG409" t="str">
        <f>VLOOKUP(AF409,AKT!$C$4:$E$324,3,FALSE)</f>
        <v>0942</v>
      </c>
    </row>
    <row r="410" spans="1:33">
      <c r="A410" s="69"/>
      <c r="B410" s="64" t="str">
        <f t="shared" si="56"/>
        <v/>
      </c>
      <c r="C410" s="69"/>
      <c r="D410" s="64" t="str">
        <f t="shared" si="57"/>
        <v/>
      </c>
      <c r="E410" s="102"/>
      <c r="F410" s="64" t="str">
        <f t="shared" si="52"/>
        <v/>
      </c>
      <c r="G410" s="64" t="str">
        <f t="shared" si="58"/>
        <v/>
      </c>
      <c r="H410" s="101"/>
      <c r="I410" s="101"/>
      <c r="J410" s="101"/>
      <c r="K410" s="112"/>
      <c r="L410" s="111"/>
      <c r="M410" s="111"/>
      <c r="N410" s="112"/>
      <c r="O410" s="235"/>
      <c r="P410" s="68"/>
      <c r="R410" t="str">
        <f t="shared" si="53"/>
        <v/>
      </c>
      <c r="S410" t="str">
        <f t="shared" si="54"/>
        <v/>
      </c>
      <c r="T410" t="str">
        <f t="shared" si="55"/>
        <v/>
      </c>
      <c r="AD410" t="s">
        <v>2211</v>
      </c>
      <c r="AE410" t="s">
        <v>2212</v>
      </c>
      <c r="AF410" t="str">
        <f t="shared" si="59"/>
        <v>A679078</v>
      </c>
      <c r="AG410" t="str">
        <f>VLOOKUP(AF410,AKT!$C$4:$E$324,3,FALSE)</f>
        <v>0942</v>
      </c>
    </row>
    <row r="411" spans="1:33">
      <c r="A411" s="69"/>
      <c r="B411" s="64" t="str">
        <f t="shared" si="56"/>
        <v/>
      </c>
      <c r="C411" s="69"/>
      <c r="D411" s="64" t="str">
        <f t="shared" si="57"/>
        <v/>
      </c>
      <c r="E411" s="102"/>
      <c r="F411" s="64" t="str">
        <f t="shared" si="52"/>
        <v/>
      </c>
      <c r="G411" s="64" t="str">
        <f t="shared" si="58"/>
        <v/>
      </c>
      <c r="H411" s="101"/>
      <c r="I411" s="101"/>
      <c r="J411" s="101"/>
      <c r="K411" s="112"/>
      <c r="L411" s="111"/>
      <c r="M411" s="111"/>
      <c r="N411" s="112"/>
      <c r="O411" s="235"/>
      <c r="P411" s="68"/>
      <c r="R411" t="str">
        <f t="shared" si="53"/>
        <v/>
      </c>
      <c r="S411" t="str">
        <f t="shared" si="54"/>
        <v/>
      </c>
      <c r="T411" t="str">
        <f t="shared" si="55"/>
        <v/>
      </c>
      <c r="AD411" t="s">
        <v>2213</v>
      </c>
      <c r="AE411" t="s">
        <v>2214</v>
      </c>
      <c r="AF411" t="str">
        <f t="shared" si="59"/>
        <v>A679078</v>
      </c>
      <c r="AG411" t="str">
        <f>VLOOKUP(AF411,AKT!$C$4:$E$324,3,FALSE)</f>
        <v>0942</v>
      </c>
    </row>
    <row r="412" spans="1:33">
      <c r="A412" s="69"/>
      <c r="B412" s="64" t="str">
        <f t="shared" si="56"/>
        <v/>
      </c>
      <c r="C412" s="69"/>
      <c r="D412" s="64" t="str">
        <f t="shared" si="57"/>
        <v/>
      </c>
      <c r="E412" s="102"/>
      <c r="F412" s="64" t="str">
        <f t="shared" si="52"/>
        <v/>
      </c>
      <c r="G412" s="64" t="str">
        <f t="shared" si="58"/>
        <v/>
      </c>
      <c r="H412" s="101"/>
      <c r="I412" s="101"/>
      <c r="J412" s="101"/>
      <c r="K412" s="112"/>
      <c r="L412" s="111"/>
      <c r="M412" s="111"/>
      <c r="N412" s="112"/>
      <c r="O412" s="235"/>
      <c r="P412" s="68"/>
      <c r="R412" t="str">
        <f t="shared" si="53"/>
        <v/>
      </c>
      <c r="S412" t="str">
        <f t="shared" si="54"/>
        <v/>
      </c>
      <c r="T412" t="str">
        <f t="shared" si="55"/>
        <v/>
      </c>
      <c r="AD412" t="s">
        <v>2215</v>
      </c>
      <c r="AE412" t="s">
        <v>2216</v>
      </c>
      <c r="AF412" t="str">
        <f t="shared" si="59"/>
        <v>A679078</v>
      </c>
      <c r="AG412" t="str">
        <f>VLOOKUP(AF412,AKT!$C$4:$E$324,3,FALSE)</f>
        <v>0942</v>
      </c>
    </row>
    <row r="413" spans="1:33">
      <c r="A413" s="69"/>
      <c r="B413" s="64" t="str">
        <f t="shared" si="56"/>
        <v/>
      </c>
      <c r="C413" s="69"/>
      <c r="D413" s="64" t="str">
        <f t="shared" si="57"/>
        <v/>
      </c>
      <c r="E413" s="102"/>
      <c r="F413" s="64" t="str">
        <f t="shared" si="52"/>
        <v/>
      </c>
      <c r="G413" s="64" t="str">
        <f t="shared" si="58"/>
        <v/>
      </c>
      <c r="H413" s="101"/>
      <c r="I413" s="101"/>
      <c r="J413" s="101"/>
      <c r="K413" s="112"/>
      <c r="L413" s="111"/>
      <c r="M413" s="111"/>
      <c r="N413" s="112"/>
      <c r="O413" s="235"/>
      <c r="P413" s="68"/>
      <c r="R413" t="str">
        <f t="shared" si="53"/>
        <v/>
      </c>
      <c r="S413" t="str">
        <f t="shared" si="54"/>
        <v/>
      </c>
      <c r="T413" t="str">
        <f t="shared" si="55"/>
        <v/>
      </c>
      <c r="AD413" t="s">
        <v>2217</v>
      </c>
      <c r="AE413" t="s">
        <v>2218</v>
      </c>
      <c r="AF413" t="str">
        <f t="shared" si="59"/>
        <v>A679078</v>
      </c>
      <c r="AG413" t="str">
        <f>VLOOKUP(AF413,AKT!$C$4:$E$324,3,FALSE)</f>
        <v>0942</v>
      </c>
    </row>
    <row r="414" spans="1:33">
      <c r="A414" s="69"/>
      <c r="B414" s="64" t="str">
        <f t="shared" si="56"/>
        <v/>
      </c>
      <c r="C414" s="69"/>
      <c r="D414" s="64" t="str">
        <f t="shared" si="57"/>
        <v/>
      </c>
      <c r="E414" s="102"/>
      <c r="F414" s="64" t="str">
        <f t="shared" si="52"/>
        <v/>
      </c>
      <c r="G414" s="64" t="str">
        <f t="shared" si="58"/>
        <v/>
      </c>
      <c r="H414" s="101"/>
      <c r="I414" s="101"/>
      <c r="J414" s="101"/>
      <c r="K414" s="112"/>
      <c r="L414" s="111"/>
      <c r="M414" s="111"/>
      <c r="N414" s="112"/>
      <c r="O414" s="235"/>
      <c r="P414" s="68"/>
      <c r="R414" t="str">
        <f t="shared" si="53"/>
        <v/>
      </c>
      <c r="S414" t="str">
        <f t="shared" si="54"/>
        <v/>
      </c>
      <c r="T414" t="str">
        <f t="shared" si="55"/>
        <v/>
      </c>
      <c r="AD414" t="s">
        <v>2219</v>
      </c>
      <c r="AE414" t="s">
        <v>2220</v>
      </c>
      <c r="AF414" t="str">
        <f t="shared" si="59"/>
        <v>A679078</v>
      </c>
      <c r="AG414" t="str">
        <f>VLOOKUP(AF414,AKT!$C$4:$E$324,3,FALSE)</f>
        <v>0942</v>
      </c>
    </row>
    <row r="415" spans="1:33">
      <c r="A415" s="69"/>
      <c r="B415" s="64" t="str">
        <f t="shared" si="56"/>
        <v/>
      </c>
      <c r="C415" s="69"/>
      <c r="D415" s="64" t="str">
        <f t="shared" si="57"/>
        <v/>
      </c>
      <c r="E415" s="102"/>
      <c r="F415" s="64" t="str">
        <f t="shared" si="52"/>
        <v/>
      </c>
      <c r="G415" s="64" t="str">
        <f t="shared" si="58"/>
        <v/>
      </c>
      <c r="H415" s="101"/>
      <c r="I415" s="101"/>
      <c r="J415" s="101"/>
      <c r="K415" s="112"/>
      <c r="L415" s="111"/>
      <c r="M415" s="111"/>
      <c r="N415" s="112"/>
      <c r="O415" s="235"/>
      <c r="P415" s="68"/>
      <c r="R415" t="str">
        <f t="shared" si="53"/>
        <v/>
      </c>
      <c r="S415" t="str">
        <f t="shared" si="54"/>
        <v/>
      </c>
      <c r="T415" t="str">
        <f t="shared" si="55"/>
        <v/>
      </c>
      <c r="AD415" t="s">
        <v>2221</v>
      </c>
      <c r="AE415" t="s">
        <v>2222</v>
      </c>
      <c r="AF415" t="str">
        <f t="shared" si="59"/>
        <v>A679078</v>
      </c>
      <c r="AG415" t="str">
        <f>VLOOKUP(AF415,AKT!$C$4:$E$324,3,FALSE)</f>
        <v>0942</v>
      </c>
    </row>
    <row r="416" spans="1:33">
      <c r="A416" s="69"/>
      <c r="B416" s="64" t="str">
        <f t="shared" si="56"/>
        <v/>
      </c>
      <c r="C416" s="69"/>
      <c r="D416" s="64" t="str">
        <f t="shared" si="57"/>
        <v/>
      </c>
      <c r="E416" s="102"/>
      <c r="F416" s="64" t="str">
        <f t="shared" si="52"/>
        <v/>
      </c>
      <c r="G416" s="64" t="str">
        <f t="shared" si="58"/>
        <v/>
      </c>
      <c r="H416" s="101"/>
      <c r="I416" s="101"/>
      <c r="J416" s="101"/>
      <c r="K416" s="112"/>
      <c r="L416" s="111"/>
      <c r="M416" s="111"/>
      <c r="N416" s="112"/>
      <c r="O416" s="235"/>
      <c r="P416" s="68"/>
      <c r="R416" t="str">
        <f t="shared" si="53"/>
        <v/>
      </c>
      <c r="S416" t="str">
        <f t="shared" si="54"/>
        <v/>
      </c>
      <c r="T416" t="str">
        <f t="shared" si="55"/>
        <v/>
      </c>
      <c r="AD416" t="s">
        <v>2223</v>
      </c>
      <c r="AE416" t="s">
        <v>2224</v>
      </c>
      <c r="AF416" t="str">
        <f t="shared" si="59"/>
        <v>A679078</v>
      </c>
      <c r="AG416" t="str">
        <f>VLOOKUP(AF416,AKT!$C$4:$E$324,3,FALSE)</f>
        <v>0942</v>
      </c>
    </row>
    <row r="417" spans="1:33">
      <c r="A417" s="69"/>
      <c r="B417" s="64" t="str">
        <f t="shared" si="56"/>
        <v/>
      </c>
      <c r="C417" s="69"/>
      <c r="D417" s="64" t="str">
        <f t="shared" si="57"/>
        <v/>
      </c>
      <c r="E417" s="102"/>
      <c r="F417" s="64" t="str">
        <f t="shared" si="52"/>
        <v/>
      </c>
      <c r="G417" s="64" t="str">
        <f t="shared" si="58"/>
        <v/>
      </c>
      <c r="H417" s="101"/>
      <c r="I417" s="101"/>
      <c r="J417" s="101"/>
      <c r="K417" s="112"/>
      <c r="L417" s="111"/>
      <c r="M417" s="111"/>
      <c r="N417" s="112"/>
      <c r="O417" s="235"/>
      <c r="P417" s="68"/>
      <c r="R417" t="str">
        <f t="shared" si="53"/>
        <v/>
      </c>
      <c r="S417" t="str">
        <f t="shared" si="54"/>
        <v/>
      </c>
      <c r="T417" t="str">
        <f t="shared" si="55"/>
        <v/>
      </c>
      <c r="AD417" t="s">
        <v>2225</v>
      </c>
      <c r="AE417" t="s">
        <v>2226</v>
      </c>
      <c r="AF417" t="str">
        <f t="shared" si="59"/>
        <v>A679078</v>
      </c>
      <c r="AG417" t="str">
        <f>VLOOKUP(AF417,AKT!$C$4:$E$324,3,FALSE)</f>
        <v>0942</v>
      </c>
    </row>
    <row r="418" spans="1:33">
      <c r="A418" s="69"/>
      <c r="B418" s="64" t="str">
        <f t="shared" si="56"/>
        <v/>
      </c>
      <c r="C418" s="69"/>
      <c r="D418" s="64" t="str">
        <f t="shared" si="57"/>
        <v/>
      </c>
      <c r="E418" s="102"/>
      <c r="F418" s="64" t="str">
        <f t="shared" si="52"/>
        <v/>
      </c>
      <c r="G418" s="64" t="str">
        <f t="shared" si="58"/>
        <v/>
      </c>
      <c r="H418" s="101"/>
      <c r="I418" s="101"/>
      <c r="J418" s="101"/>
      <c r="K418" s="112"/>
      <c r="L418" s="111"/>
      <c r="M418" s="111"/>
      <c r="N418" s="112"/>
      <c r="O418" s="235"/>
      <c r="P418" s="68"/>
      <c r="R418" t="str">
        <f t="shared" si="53"/>
        <v/>
      </c>
      <c r="S418" t="str">
        <f t="shared" si="54"/>
        <v/>
      </c>
      <c r="T418" t="str">
        <f t="shared" si="55"/>
        <v/>
      </c>
      <c r="AD418" t="s">
        <v>2227</v>
      </c>
      <c r="AE418" t="s">
        <v>2228</v>
      </c>
      <c r="AF418" t="str">
        <f t="shared" si="59"/>
        <v>A679078</v>
      </c>
      <c r="AG418" t="str">
        <f>VLOOKUP(AF418,AKT!$C$4:$E$324,3,FALSE)</f>
        <v>0942</v>
      </c>
    </row>
    <row r="419" spans="1:33">
      <c r="A419" s="69"/>
      <c r="B419" s="64" t="str">
        <f t="shared" si="56"/>
        <v/>
      </c>
      <c r="C419" s="69"/>
      <c r="D419" s="64" t="str">
        <f t="shared" si="57"/>
        <v/>
      </c>
      <c r="E419" s="102"/>
      <c r="F419" s="64" t="str">
        <f t="shared" si="52"/>
        <v/>
      </c>
      <c r="G419" s="64" t="str">
        <f t="shared" si="58"/>
        <v/>
      </c>
      <c r="H419" s="101"/>
      <c r="I419" s="101"/>
      <c r="J419" s="101"/>
      <c r="K419" s="112"/>
      <c r="L419" s="111"/>
      <c r="M419" s="111"/>
      <c r="N419" s="112"/>
      <c r="O419" s="235"/>
      <c r="P419" s="68"/>
      <c r="R419" t="str">
        <f t="shared" si="53"/>
        <v/>
      </c>
      <c r="S419" t="str">
        <f t="shared" si="54"/>
        <v/>
      </c>
      <c r="T419" t="str">
        <f t="shared" si="55"/>
        <v/>
      </c>
      <c r="AD419" t="s">
        <v>2229</v>
      </c>
      <c r="AE419" t="s">
        <v>2230</v>
      </c>
      <c r="AF419" t="str">
        <f t="shared" si="59"/>
        <v>A679078</v>
      </c>
      <c r="AG419" t="str">
        <f>VLOOKUP(AF419,AKT!$C$4:$E$324,3,FALSE)</f>
        <v>0942</v>
      </c>
    </row>
    <row r="420" spans="1:33">
      <c r="A420" s="69"/>
      <c r="B420" s="64" t="str">
        <f t="shared" si="56"/>
        <v/>
      </c>
      <c r="C420" s="69"/>
      <c r="D420" s="64" t="str">
        <f t="shared" si="57"/>
        <v/>
      </c>
      <c r="E420" s="102"/>
      <c r="F420" s="64" t="str">
        <f t="shared" si="52"/>
        <v/>
      </c>
      <c r="G420" s="64" t="str">
        <f t="shared" si="58"/>
        <v/>
      </c>
      <c r="H420" s="101"/>
      <c r="I420" s="101"/>
      <c r="J420" s="101"/>
      <c r="K420" s="112"/>
      <c r="L420" s="111"/>
      <c r="M420" s="111"/>
      <c r="N420" s="112"/>
      <c r="O420" s="235"/>
      <c r="P420" s="68"/>
      <c r="R420" t="str">
        <f t="shared" si="53"/>
        <v/>
      </c>
      <c r="S420" t="str">
        <f t="shared" si="54"/>
        <v/>
      </c>
      <c r="T420" t="str">
        <f t="shared" si="55"/>
        <v/>
      </c>
      <c r="AD420" t="s">
        <v>2231</v>
      </c>
      <c r="AE420" t="s">
        <v>2232</v>
      </c>
      <c r="AF420" t="str">
        <f t="shared" si="59"/>
        <v>A679078</v>
      </c>
      <c r="AG420" t="str">
        <f>VLOOKUP(AF420,AKT!$C$4:$E$324,3,FALSE)</f>
        <v>0942</v>
      </c>
    </row>
    <row r="421" spans="1:33">
      <c r="A421" s="69"/>
      <c r="B421" s="64" t="str">
        <f t="shared" si="56"/>
        <v/>
      </c>
      <c r="C421" s="69"/>
      <c r="D421" s="64" t="str">
        <f t="shared" si="57"/>
        <v/>
      </c>
      <c r="E421" s="102"/>
      <c r="F421" s="64" t="str">
        <f t="shared" si="52"/>
        <v/>
      </c>
      <c r="G421" s="64" t="str">
        <f t="shared" si="58"/>
        <v/>
      </c>
      <c r="H421" s="101"/>
      <c r="I421" s="101"/>
      <c r="J421" s="101"/>
      <c r="K421" s="112"/>
      <c r="L421" s="111"/>
      <c r="M421" s="111"/>
      <c r="N421" s="112"/>
      <c r="O421" s="235"/>
      <c r="P421" s="68"/>
      <c r="R421" t="str">
        <f t="shared" si="53"/>
        <v/>
      </c>
      <c r="S421" t="str">
        <f t="shared" si="54"/>
        <v/>
      </c>
      <c r="T421" t="str">
        <f t="shared" si="55"/>
        <v/>
      </c>
      <c r="AD421" t="s">
        <v>2233</v>
      </c>
      <c r="AE421" t="s">
        <v>2234</v>
      </c>
      <c r="AF421" t="str">
        <f t="shared" si="59"/>
        <v>A679078</v>
      </c>
      <c r="AG421" t="str">
        <f>VLOOKUP(AF421,AKT!$C$4:$E$324,3,FALSE)</f>
        <v>0942</v>
      </c>
    </row>
    <row r="422" spans="1:33">
      <c r="A422" s="69"/>
      <c r="B422" s="64" t="str">
        <f t="shared" si="56"/>
        <v/>
      </c>
      <c r="C422" s="69"/>
      <c r="D422" s="64" t="str">
        <f t="shared" si="57"/>
        <v/>
      </c>
      <c r="E422" s="102"/>
      <c r="F422" s="64" t="str">
        <f t="shared" si="52"/>
        <v/>
      </c>
      <c r="G422" s="64" t="str">
        <f t="shared" si="58"/>
        <v/>
      </c>
      <c r="H422" s="101"/>
      <c r="I422" s="101"/>
      <c r="J422" s="101"/>
      <c r="K422" s="112"/>
      <c r="L422" s="111"/>
      <c r="M422" s="111"/>
      <c r="N422" s="112"/>
      <c r="O422" s="235"/>
      <c r="P422" s="68"/>
      <c r="R422" t="str">
        <f t="shared" si="53"/>
        <v/>
      </c>
      <c r="S422" t="str">
        <f t="shared" si="54"/>
        <v/>
      </c>
      <c r="T422" t="str">
        <f t="shared" si="55"/>
        <v/>
      </c>
      <c r="AD422" t="s">
        <v>2235</v>
      </c>
      <c r="AE422" t="s">
        <v>2236</v>
      </c>
      <c r="AF422" t="str">
        <f t="shared" si="59"/>
        <v>A679078</v>
      </c>
      <c r="AG422" t="str">
        <f>VLOOKUP(AF422,AKT!$C$4:$E$324,3,FALSE)</f>
        <v>0942</v>
      </c>
    </row>
    <row r="423" spans="1:33">
      <c r="A423" s="69"/>
      <c r="B423" s="64" t="str">
        <f t="shared" si="56"/>
        <v/>
      </c>
      <c r="C423" s="69"/>
      <c r="D423" s="64" t="str">
        <f t="shared" si="57"/>
        <v/>
      </c>
      <c r="E423" s="102"/>
      <c r="F423" s="64" t="str">
        <f t="shared" si="52"/>
        <v/>
      </c>
      <c r="G423" s="64" t="str">
        <f t="shared" si="58"/>
        <v/>
      </c>
      <c r="H423" s="101"/>
      <c r="I423" s="101"/>
      <c r="J423" s="101"/>
      <c r="K423" s="112"/>
      <c r="L423" s="111"/>
      <c r="M423" s="111"/>
      <c r="N423" s="112"/>
      <c r="O423" s="235"/>
      <c r="P423" s="68"/>
      <c r="R423" t="str">
        <f t="shared" si="53"/>
        <v/>
      </c>
      <c r="S423" t="str">
        <f t="shared" si="54"/>
        <v/>
      </c>
      <c r="T423" t="str">
        <f t="shared" si="55"/>
        <v/>
      </c>
      <c r="AD423" t="s">
        <v>2237</v>
      </c>
      <c r="AE423" t="s">
        <v>2238</v>
      </c>
      <c r="AF423" t="str">
        <f t="shared" si="59"/>
        <v>A679078</v>
      </c>
      <c r="AG423" t="str">
        <f>VLOOKUP(AF423,AKT!$C$4:$E$324,3,FALSE)</f>
        <v>0942</v>
      </c>
    </row>
    <row r="424" spans="1:33">
      <c r="A424" s="69"/>
      <c r="B424" s="64" t="str">
        <f t="shared" si="56"/>
        <v/>
      </c>
      <c r="C424" s="69"/>
      <c r="D424" s="64" t="str">
        <f t="shared" si="57"/>
        <v/>
      </c>
      <c r="E424" s="102"/>
      <c r="F424" s="64" t="str">
        <f t="shared" si="52"/>
        <v/>
      </c>
      <c r="G424" s="64" t="str">
        <f t="shared" si="58"/>
        <v/>
      </c>
      <c r="H424" s="101"/>
      <c r="I424" s="101"/>
      <c r="J424" s="101"/>
      <c r="K424" s="112"/>
      <c r="L424" s="111"/>
      <c r="M424" s="111"/>
      <c r="N424" s="112"/>
      <c r="O424" s="235"/>
      <c r="P424" s="68"/>
      <c r="R424" t="str">
        <f t="shared" si="53"/>
        <v/>
      </c>
      <c r="S424" t="str">
        <f t="shared" si="54"/>
        <v/>
      </c>
      <c r="T424" t="str">
        <f t="shared" si="55"/>
        <v/>
      </c>
      <c r="AD424" t="s">
        <v>2239</v>
      </c>
      <c r="AE424" t="s">
        <v>2240</v>
      </c>
      <c r="AF424" t="str">
        <f t="shared" si="59"/>
        <v>A679078</v>
      </c>
      <c r="AG424" t="str">
        <f>VLOOKUP(AF424,AKT!$C$4:$E$324,3,FALSE)</f>
        <v>0942</v>
      </c>
    </row>
    <row r="425" spans="1:33">
      <c r="A425" s="69"/>
      <c r="B425" s="64" t="str">
        <f t="shared" si="56"/>
        <v/>
      </c>
      <c r="C425" s="69"/>
      <c r="D425" s="64" t="str">
        <f t="shared" si="57"/>
        <v/>
      </c>
      <c r="E425" s="102"/>
      <c r="F425" s="64" t="str">
        <f t="shared" si="52"/>
        <v/>
      </c>
      <c r="G425" s="64" t="str">
        <f t="shared" si="58"/>
        <v/>
      </c>
      <c r="H425" s="101"/>
      <c r="I425" s="101"/>
      <c r="J425" s="101"/>
      <c r="K425" s="112"/>
      <c r="L425" s="111"/>
      <c r="M425" s="111"/>
      <c r="N425" s="112"/>
      <c r="O425" s="235"/>
      <c r="P425" s="68"/>
      <c r="R425" t="str">
        <f t="shared" si="53"/>
        <v/>
      </c>
      <c r="S425" t="str">
        <f t="shared" si="54"/>
        <v/>
      </c>
      <c r="T425" t="str">
        <f t="shared" si="55"/>
        <v/>
      </c>
      <c r="AD425" t="s">
        <v>2241</v>
      </c>
      <c r="AE425" t="s">
        <v>2242</v>
      </c>
      <c r="AF425" t="str">
        <f t="shared" si="59"/>
        <v>A679078</v>
      </c>
      <c r="AG425" t="str">
        <f>VLOOKUP(AF425,AKT!$C$4:$E$324,3,FALSE)</f>
        <v>0942</v>
      </c>
    </row>
    <row r="426" spans="1:33">
      <c r="A426" s="69"/>
      <c r="B426" s="64" t="str">
        <f t="shared" si="56"/>
        <v/>
      </c>
      <c r="C426" s="69"/>
      <c r="D426" s="64" t="str">
        <f t="shared" si="57"/>
        <v/>
      </c>
      <c r="E426" s="102"/>
      <c r="F426" s="64" t="str">
        <f t="shared" ref="F426:F489" si="60">IFERROR(VLOOKUP(E426,$AD$6:$AE$1085,2,FALSE),"")</f>
        <v/>
      </c>
      <c r="G426" s="64" t="str">
        <f t="shared" si="58"/>
        <v/>
      </c>
      <c r="H426" s="101"/>
      <c r="I426" s="101"/>
      <c r="J426" s="101"/>
      <c r="K426" s="112"/>
      <c r="L426" s="111"/>
      <c r="M426" s="111"/>
      <c r="N426" s="112"/>
      <c r="O426" s="235"/>
      <c r="P426" s="68"/>
      <c r="R426" t="str">
        <f t="shared" si="53"/>
        <v/>
      </c>
      <c r="S426" t="str">
        <f t="shared" si="54"/>
        <v/>
      </c>
      <c r="T426" t="str">
        <f t="shared" si="55"/>
        <v/>
      </c>
      <c r="AD426" t="s">
        <v>2243</v>
      </c>
      <c r="AE426" t="s">
        <v>2244</v>
      </c>
      <c r="AF426" t="str">
        <f t="shared" si="59"/>
        <v>A679078</v>
      </c>
      <c r="AG426" t="str">
        <f>VLOOKUP(AF426,AKT!$C$4:$E$324,3,FALSE)</f>
        <v>0942</v>
      </c>
    </row>
    <row r="427" spans="1:33">
      <c r="A427" s="69"/>
      <c r="B427" s="64" t="str">
        <f t="shared" si="56"/>
        <v/>
      </c>
      <c r="C427" s="69"/>
      <c r="D427" s="64" t="str">
        <f t="shared" si="57"/>
        <v/>
      </c>
      <c r="E427" s="102"/>
      <c r="F427" s="64" t="str">
        <f t="shared" si="60"/>
        <v/>
      </c>
      <c r="G427" s="64" t="str">
        <f t="shared" si="58"/>
        <v/>
      </c>
      <c r="H427" s="101"/>
      <c r="I427" s="101"/>
      <c r="J427" s="101"/>
      <c r="K427" s="112"/>
      <c r="L427" s="111"/>
      <c r="M427" s="111"/>
      <c r="N427" s="112"/>
      <c r="O427" s="235"/>
      <c r="P427" s="68"/>
      <c r="R427" t="str">
        <f t="shared" si="53"/>
        <v/>
      </c>
      <c r="S427" t="str">
        <f t="shared" si="54"/>
        <v/>
      </c>
      <c r="T427" t="str">
        <f t="shared" si="55"/>
        <v/>
      </c>
      <c r="AD427" t="s">
        <v>2245</v>
      </c>
      <c r="AE427" t="s">
        <v>2246</v>
      </c>
      <c r="AF427" t="str">
        <f t="shared" si="59"/>
        <v>A679078</v>
      </c>
      <c r="AG427" t="str">
        <f>VLOOKUP(AF427,AKT!$C$4:$E$324,3,FALSE)</f>
        <v>0942</v>
      </c>
    </row>
    <row r="428" spans="1:33">
      <c r="A428" s="69"/>
      <c r="B428" s="64" t="str">
        <f t="shared" si="56"/>
        <v/>
      </c>
      <c r="C428" s="69"/>
      <c r="D428" s="64" t="str">
        <f t="shared" si="57"/>
        <v/>
      </c>
      <c r="E428" s="102"/>
      <c r="F428" s="64" t="str">
        <f t="shared" si="60"/>
        <v/>
      </c>
      <c r="G428" s="64" t="str">
        <f t="shared" si="58"/>
        <v/>
      </c>
      <c r="H428" s="101"/>
      <c r="I428" s="101"/>
      <c r="J428" s="101"/>
      <c r="K428" s="112"/>
      <c r="L428" s="111"/>
      <c r="M428" s="111"/>
      <c r="N428" s="112"/>
      <c r="O428" s="235"/>
      <c r="P428" s="68"/>
      <c r="R428" t="str">
        <f t="shared" si="53"/>
        <v/>
      </c>
      <c r="S428" t="str">
        <f t="shared" si="54"/>
        <v/>
      </c>
      <c r="T428" t="str">
        <f t="shared" si="55"/>
        <v/>
      </c>
      <c r="AD428" t="s">
        <v>2247</v>
      </c>
      <c r="AE428" t="s">
        <v>2248</v>
      </c>
      <c r="AF428" t="str">
        <f t="shared" si="59"/>
        <v>A679078</v>
      </c>
      <c r="AG428" t="str">
        <f>VLOOKUP(AF428,AKT!$C$4:$E$324,3,FALSE)</f>
        <v>0942</v>
      </c>
    </row>
    <row r="429" spans="1:33">
      <c r="A429" s="69"/>
      <c r="B429" s="64" t="str">
        <f t="shared" si="56"/>
        <v/>
      </c>
      <c r="C429" s="69"/>
      <c r="D429" s="64" t="str">
        <f t="shared" si="57"/>
        <v/>
      </c>
      <c r="E429" s="102"/>
      <c r="F429" s="64" t="str">
        <f t="shared" si="60"/>
        <v/>
      </c>
      <c r="G429" s="64" t="str">
        <f t="shared" si="58"/>
        <v/>
      </c>
      <c r="H429" s="101"/>
      <c r="I429" s="101"/>
      <c r="J429" s="101"/>
      <c r="K429" s="112"/>
      <c r="L429" s="111"/>
      <c r="M429" s="111"/>
      <c r="N429" s="112"/>
      <c r="O429" s="235"/>
      <c r="P429" s="68"/>
      <c r="R429" t="str">
        <f t="shared" si="53"/>
        <v/>
      </c>
      <c r="S429" t="str">
        <f t="shared" si="54"/>
        <v/>
      </c>
      <c r="T429" t="str">
        <f t="shared" si="55"/>
        <v/>
      </c>
      <c r="AD429" t="s">
        <v>2249</v>
      </c>
      <c r="AE429" t="s">
        <v>2250</v>
      </c>
      <c r="AF429" t="str">
        <f t="shared" si="59"/>
        <v>A679078</v>
      </c>
      <c r="AG429" t="str">
        <f>VLOOKUP(AF429,AKT!$C$4:$E$324,3,FALSE)</f>
        <v>0942</v>
      </c>
    </row>
    <row r="430" spans="1:33">
      <c r="A430" s="69"/>
      <c r="B430" s="64" t="str">
        <f t="shared" si="56"/>
        <v/>
      </c>
      <c r="C430" s="69"/>
      <c r="D430" s="64" t="str">
        <f t="shared" si="57"/>
        <v/>
      </c>
      <c r="E430" s="102"/>
      <c r="F430" s="64" t="str">
        <f t="shared" si="60"/>
        <v/>
      </c>
      <c r="G430" s="64" t="str">
        <f t="shared" si="58"/>
        <v/>
      </c>
      <c r="H430" s="101"/>
      <c r="I430" s="101"/>
      <c r="J430" s="101"/>
      <c r="K430" s="112"/>
      <c r="L430" s="111"/>
      <c r="M430" s="111"/>
      <c r="N430" s="112"/>
      <c r="O430" s="235"/>
      <c r="P430" s="68"/>
      <c r="R430" t="str">
        <f t="shared" si="53"/>
        <v/>
      </c>
      <c r="S430" t="str">
        <f t="shared" si="54"/>
        <v/>
      </c>
      <c r="T430" t="str">
        <f t="shared" si="55"/>
        <v/>
      </c>
      <c r="AD430" t="s">
        <v>2251</v>
      </c>
      <c r="AE430" t="s">
        <v>2252</v>
      </c>
      <c r="AF430" t="str">
        <f t="shared" si="59"/>
        <v>A679078</v>
      </c>
      <c r="AG430" t="str">
        <f>VLOOKUP(AF430,AKT!$C$4:$E$324,3,FALSE)</f>
        <v>0942</v>
      </c>
    </row>
    <row r="431" spans="1:33">
      <c r="A431" s="69"/>
      <c r="B431" s="64" t="str">
        <f t="shared" si="56"/>
        <v/>
      </c>
      <c r="C431" s="69"/>
      <c r="D431" s="64" t="str">
        <f t="shared" si="57"/>
        <v/>
      </c>
      <c r="E431" s="102"/>
      <c r="F431" s="64" t="str">
        <f t="shared" si="60"/>
        <v/>
      </c>
      <c r="G431" s="64" t="str">
        <f t="shared" si="58"/>
        <v/>
      </c>
      <c r="H431" s="101"/>
      <c r="I431" s="101"/>
      <c r="J431" s="101"/>
      <c r="K431" s="112"/>
      <c r="L431" s="111"/>
      <c r="M431" s="111"/>
      <c r="N431" s="112"/>
      <c r="O431" s="235"/>
      <c r="P431" s="68"/>
      <c r="R431" t="str">
        <f t="shared" si="53"/>
        <v/>
      </c>
      <c r="S431" t="str">
        <f t="shared" si="54"/>
        <v/>
      </c>
      <c r="T431" t="str">
        <f t="shared" si="55"/>
        <v/>
      </c>
      <c r="AD431" t="s">
        <v>2253</v>
      </c>
      <c r="AE431" t="s">
        <v>2254</v>
      </c>
      <c r="AF431" t="str">
        <f t="shared" si="59"/>
        <v>A679078</v>
      </c>
      <c r="AG431" t="str">
        <f>VLOOKUP(AF431,AKT!$C$4:$E$324,3,FALSE)</f>
        <v>0942</v>
      </c>
    </row>
    <row r="432" spans="1:33">
      <c r="A432" s="69"/>
      <c r="B432" s="64" t="str">
        <f t="shared" si="56"/>
        <v/>
      </c>
      <c r="C432" s="69"/>
      <c r="D432" s="64" t="str">
        <f t="shared" si="57"/>
        <v/>
      </c>
      <c r="E432" s="102"/>
      <c r="F432" s="64" t="str">
        <f t="shared" si="60"/>
        <v/>
      </c>
      <c r="G432" s="64" t="str">
        <f t="shared" si="58"/>
        <v/>
      </c>
      <c r="H432" s="101"/>
      <c r="I432" s="101"/>
      <c r="J432" s="101"/>
      <c r="K432" s="112"/>
      <c r="L432" s="111"/>
      <c r="M432" s="111"/>
      <c r="N432" s="112"/>
      <c r="O432" s="235"/>
      <c r="P432" s="68"/>
      <c r="R432" t="str">
        <f t="shared" si="53"/>
        <v/>
      </c>
      <c r="S432" t="str">
        <f t="shared" si="54"/>
        <v/>
      </c>
      <c r="T432" t="str">
        <f t="shared" si="55"/>
        <v/>
      </c>
      <c r="AD432" t="s">
        <v>2255</v>
      </c>
      <c r="AE432" t="s">
        <v>2256</v>
      </c>
      <c r="AF432" t="str">
        <f t="shared" si="59"/>
        <v>A679078</v>
      </c>
      <c r="AG432" t="str">
        <f>VLOOKUP(AF432,AKT!$C$4:$E$324,3,FALSE)</f>
        <v>0942</v>
      </c>
    </row>
    <row r="433" spans="1:33">
      <c r="A433" s="69"/>
      <c r="B433" s="64" t="str">
        <f t="shared" si="56"/>
        <v/>
      </c>
      <c r="C433" s="69"/>
      <c r="D433" s="64" t="str">
        <f t="shared" si="57"/>
        <v/>
      </c>
      <c r="E433" s="102"/>
      <c r="F433" s="64" t="str">
        <f t="shared" si="60"/>
        <v/>
      </c>
      <c r="G433" s="64" t="str">
        <f t="shared" si="58"/>
        <v/>
      </c>
      <c r="H433" s="101"/>
      <c r="I433" s="101"/>
      <c r="J433" s="101"/>
      <c r="K433" s="112"/>
      <c r="L433" s="111"/>
      <c r="M433" s="111"/>
      <c r="N433" s="112"/>
      <c r="O433" s="235"/>
      <c r="P433" s="68"/>
      <c r="R433" t="str">
        <f t="shared" si="53"/>
        <v/>
      </c>
      <c r="S433" t="str">
        <f t="shared" si="54"/>
        <v/>
      </c>
      <c r="T433" t="str">
        <f t="shared" si="55"/>
        <v/>
      </c>
      <c r="AD433" t="s">
        <v>2257</v>
      </c>
      <c r="AE433" t="s">
        <v>2258</v>
      </c>
      <c r="AF433" t="str">
        <f t="shared" si="59"/>
        <v>A679078</v>
      </c>
      <c r="AG433" t="str">
        <f>VLOOKUP(AF433,AKT!$C$4:$E$324,3,FALSE)</f>
        <v>0942</v>
      </c>
    </row>
    <row r="434" spans="1:33">
      <c r="A434" s="69"/>
      <c r="B434" s="64" t="str">
        <f t="shared" si="56"/>
        <v/>
      </c>
      <c r="C434" s="69"/>
      <c r="D434" s="64" t="str">
        <f t="shared" si="57"/>
        <v/>
      </c>
      <c r="E434" s="102"/>
      <c r="F434" s="64" t="str">
        <f t="shared" si="60"/>
        <v/>
      </c>
      <c r="G434" s="64" t="str">
        <f t="shared" si="58"/>
        <v/>
      </c>
      <c r="H434" s="101"/>
      <c r="I434" s="101"/>
      <c r="J434" s="101"/>
      <c r="K434" s="112"/>
      <c r="L434" s="111"/>
      <c r="M434" s="111"/>
      <c r="N434" s="112"/>
      <c r="O434" s="235"/>
      <c r="P434" s="68"/>
      <c r="R434" t="str">
        <f t="shared" si="53"/>
        <v/>
      </c>
      <c r="S434" t="str">
        <f t="shared" si="54"/>
        <v/>
      </c>
      <c r="T434" t="str">
        <f t="shared" si="55"/>
        <v/>
      </c>
      <c r="AD434" t="s">
        <v>2259</v>
      </c>
      <c r="AE434" t="s">
        <v>2260</v>
      </c>
      <c r="AF434" t="str">
        <f t="shared" si="59"/>
        <v>A679078</v>
      </c>
      <c r="AG434" t="str">
        <f>VLOOKUP(AF434,AKT!$C$4:$E$324,3,FALSE)</f>
        <v>0942</v>
      </c>
    </row>
    <row r="435" spans="1:33">
      <c r="A435" s="69"/>
      <c r="B435" s="64" t="str">
        <f t="shared" si="56"/>
        <v/>
      </c>
      <c r="C435" s="69"/>
      <c r="D435" s="64" t="str">
        <f t="shared" si="57"/>
        <v/>
      </c>
      <c r="E435" s="102"/>
      <c r="F435" s="64" t="str">
        <f t="shared" si="60"/>
        <v/>
      </c>
      <c r="G435" s="64" t="str">
        <f t="shared" si="58"/>
        <v/>
      </c>
      <c r="H435" s="101"/>
      <c r="I435" s="101"/>
      <c r="J435" s="101"/>
      <c r="K435" s="112"/>
      <c r="L435" s="111"/>
      <c r="M435" s="111"/>
      <c r="N435" s="112"/>
      <c r="O435" s="235"/>
      <c r="P435" s="68"/>
      <c r="R435" t="str">
        <f t="shared" si="53"/>
        <v/>
      </c>
      <c r="S435" t="str">
        <f t="shared" si="54"/>
        <v/>
      </c>
      <c r="T435" t="str">
        <f t="shared" si="55"/>
        <v/>
      </c>
      <c r="AD435" t="s">
        <v>2261</v>
      </c>
      <c r="AE435" t="s">
        <v>2262</v>
      </c>
      <c r="AF435" t="str">
        <f t="shared" si="59"/>
        <v>A679078</v>
      </c>
      <c r="AG435" t="str">
        <f>VLOOKUP(AF435,AKT!$C$4:$E$324,3,FALSE)</f>
        <v>0942</v>
      </c>
    </row>
    <row r="436" spans="1:33">
      <c r="A436" s="69"/>
      <c r="B436" s="64" t="str">
        <f t="shared" si="56"/>
        <v/>
      </c>
      <c r="C436" s="69"/>
      <c r="D436" s="64" t="str">
        <f t="shared" si="57"/>
        <v/>
      </c>
      <c r="E436" s="102"/>
      <c r="F436" s="64" t="str">
        <f t="shared" si="60"/>
        <v/>
      </c>
      <c r="G436" s="64" t="str">
        <f t="shared" si="58"/>
        <v/>
      </c>
      <c r="H436" s="101"/>
      <c r="I436" s="101"/>
      <c r="J436" s="101"/>
      <c r="K436" s="112"/>
      <c r="L436" s="111"/>
      <c r="M436" s="111"/>
      <c r="N436" s="112"/>
      <c r="O436" s="235"/>
      <c r="P436" s="68"/>
      <c r="R436" t="str">
        <f t="shared" si="53"/>
        <v/>
      </c>
      <c r="S436" t="str">
        <f t="shared" si="54"/>
        <v/>
      </c>
      <c r="T436" t="str">
        <f t="shared" si="55"/>
        <v/>
      </c>
      <c r="AD436" t="s">
        <v>2263</v>
      </c>
      <c r="AE436" t="s">
        <v>2264</v>
      </c>
      <c r="AF436" t="str">
        <f t="shared" si="59"/>
        <v>A679078</v>
      </c>
      <c r="AG436" t="str">
        <f>VLOOKUP(AF436,AKT!$C$4:$E$324,3,FALSE)</f>
        <v>0942</v>
      </c>
    </row>
    <row r="437" spans="1:33">
      <c r="A437" s="69"/>
      <c r="B437" s="64" t="str">
        <f t="shared" si="56"/>
        <v/>
      </c>
      <c r="C437" s="69"/>
      <c r="D437" s="64" t="str">
        <f t="shared" si="57"/>
        <v/>
      </c>
      <c r="E437" s="102"/>
      <c r="F437" s="64" t="str">
        <f t="shared" si="60"/>
        <v/>
      </c>
      <c r="G437" s="64" t="str">
        <f t="shared" si="58"/>
        <v/>
      </c>
      <c r="H437" s="101"/>
      <c r="I437" s="101"/>
      <c r="J437" s="101"/>
      <c r="K437" s="112"/>
      <c r="L437" s="111"/>
      <c r="M437" s="111"/>
      <c r="N437" s="112"/>
      <c r="O437" s="235"/>
      <c r="P437" s="68"/>
      <c r="R437" t="str">
        <f t="shared" si="53"/>
        <v/>
      </c>
      <c r="S437" t="str">
        <f t="shared" si="54"/>
        <v/>
      </c>
      <c r="T437" t="str">
        <f t="shared" si="55"/>
        <v/>
      </c>
      <c r="AD437" t="s">
        <v>2265</v>
      </c>
      <c r="AE437" t="s">
        <v>2266</v>
      </c>
      <c r="AF437" t="str">
        <f t="shared" si="59"/>
        <v>A679078</v>
      </c>
      <c r="AG437" t="str">
        <f>VLOOKUP(AF437,AKT!$C$4:$E$324,3,FALSE)</f>
        <v>0942</v>
      </c>
    </row>
    <row r="438" spans="1:33">
      <c r="A438" s="69"/>
      <c r="B438" s="64" t="str">
        <f t="shared" si="56"/>
        <v/>
      </c>
      <c r="C438" s="69"/>
      <c r="D438" s="64" t="str">
        <f t="shared" si="57"/>
        <v/>
      </c>
      <c r="E438" s="102"/>
      <c r="F438" s="64" t="str">
        <f t="shared" si="60"/>
        <v/>
      </c>
      <c r="G438" s="64" t="str">
        <f t="shared" si="58"/>
        <v/>
      </c>
      <c r="H438" s="101"/>
      <c r="I438" s="101"/>
      <c r="J438" s="101"/>
      <c r="K438" s="112"/>
      <c r="L438" s="111"/>
      <c r="M438" s="111"/>
      <c r="N438" s="112"/>
      <c r="O438" s="235"/>
      <c r="P438" s="68"/>
      <c r="R438" t="str">
        <f t="shared" si="53"/>
        <v/>
      </c>
      <c r="S438" t="str">
        <f t="shared" si="54"/>
        <v/>
      </c>
      <c r="T438" t="str">
        <f t="shared" si="55"/>
        <v/>
      </c>
      <c r="AD438" t="s">
        <v>2267</v>
      </c>
      <c r="AE438" t="s">
        <v>2268</v>
      </c>
      <c r="AF438" t="str">
        <f t="shared" si="59"/>
        <v>A679078</v>
      </c>
      <c r="AG438" t="str">
        <f>VLOOKUP(AF438,AKT!$C$4:$E$324,3,FALSE)</f>
        <v>0942</v>
      </c>
    </row>
    <row r="439" spans="1:33">
      <c r="A439" s="69"/>
      <c r="B439" s="64" t="str">
        <f t="shared" si="56"/>
        <v/>
      </c>
      <c r="C439" s="69"/>
      <c r="D439" s="64" t="str">
        <f t="shared" si="57"/>
        <v/>
      </c>
      <c r="E439" s="102"/>
      <c r="F439" s="64" t="str">
        <f t="shared" si="60"/>
        <v/>
      </c>
      <c r="G439" s="64" t="str">
        <f t="shared" si="58"/>
        <v/>
      </c>
      <c r="H439" s="101"/>
      <c r="I439" s="101"/>
      <c r="J439" s="101"/>
      <c r="K439" s="112"/>
      <c r="L439" s="111"/>
      <c r="M439" s="111"/>
      <c r="N439" s="112"/>
      <c r="O439" s="235"/>
      <c r="P439" s="68"/>
      <c r="R439" t="str">
        <f t="shared" si="53"/>
        <v/>
      </c>
      <c r="S439" t="str">
        <f t="shared" si="54"/>
        <v/>
      </c>
      <c r="T439" t="str">
        <f t="shared" si="55"/>
        <v/>
      </c>
      <c r="AD439" t="s">
        <v>2269</v>
      </c>
      <c r="AE439" t="s">
        <v>2270</v>
      </c>
      <c r="AF439" t="str">
        <f t="shared" si="59"/>
        <v>A679078</v>
      </c>
      <c r="AG439" t="str">
        <f>VLOOKUP(AF439,AKT!$C$4:$E$324,3,FALSE)</f>
        <v>0942</v>
      </c>
    </row>
    <row r="440" spans="1:33">
      <c r="A440" s="69"/>
      <c r="B440" s="64" t="str">
        <f t="shared" si="56"/>
        <v/>
      </c>
      <c r="C440" s="69"/>
      <c r="D440" s="64" t="str">
        <f t="shared" si="57"/>
        <v/>
      </c>
      <c r="E440" s="102"/>
      <c r="F440" s="64" t="str">
        <f t="shared" si="60"/>
        <v/>
      </c>
      <c r="G440" s="64" t="str">
        <f t="shared" si="58"/>
        <v/>
      </c>
      <c r="H440" s="101"/>
      <c r="I440" s="101"/>
      <c r="J440" s="101"/>
      <c r="K440" s="112"/>
      <c r="L440" s="111"/>
      <c r="M440" s="111"/>
      <c r="N440" s="112"/>
      <c r="O440" s="235"/>
      <c r="P440" s="68"/>
      <c r="R440" t="str">
        <f t="shared" si="53"/>
        <v/>
      </c>
      <c r="S440" t="str">
        <f t="shared" si="54"/>
        <v/>
      </c>
      <c r="T440" t="str">
        <f t="shared" si="55"/>
        <v/>
      </c>
      <c r="AD440" t="s">
        <v>2271</v>
      </c>
      <c r="AE440" t="s">
        <v>2272</v>
      </c>
      <c r="AF440" t="str">
        <f t="shared" si="59"/>
        <v>A679078</v>
      </c>
      <c r="AG440" t="str">
        <f>VLOOKUP(AF440,AKT!$C$4:$E$324,3,FALSE)</f>
        <v>0942</v>
      </c>
    </row>
    <row r="441" spans="1:33">
      <c r="A441" s="69"/>
      <c r="B441" s="64" t="str">
        <f t="shared" si="56"/>
        <v/>
      </c>
      <c r="C441" s="69"/>
      <c r="D441" s="64" t="str">
        <f t="shared" si="57"/>
        <v/>
      </c>
      <c r="E441" s="102"/>
      <c r="F441" s="64" t="str">
        <f t="shared" si="60"/>
        <v/>
      </c>
      <c r="G441" s="64" t="str">
        <f t="shared" si="58"/>
        <v/>
      </c>
      <c r="H441" s="101"/>
      <c r="I441" s="101"/>
      <c r="J441" s="101"/>
      <c r="K441" s="112"/>
      <c r="L441" s="111"/>
      <c r="M441" s="111"/>
      <c r="N441" s="112"/>
      <c r="O441" s="235"/>
      <c r="P441" s="68"/>
      <c r="R441" t="str">
        <f t="shared" si="53"/>
        <v/>
      </c>
      <c r="S441" t="str">
        <f t="shared" si="54"/>
        <v/>
      </c>
      <c r="T441" t="str">
        <f t="shared" si="55"/>
        <v/>
      </c>
      <c r="AD441" t="s">
        <v>2273</v>
      </c>
      <c r="AE441" t="s">
        <v>2274</v>
      </c>
      <c r="AF441" t="str">
        <f t="shared" si="59"/>
        <v>A679078</v>
      </c>
      <c r="AG441" t="str">
        <f>VLOOKUP(AF441,AKT!$C$4:$E$324,3,FALSE)</f>
        <v>0942</v>
      </c>
    </row>
    <row r="442" spans="1:33">
      <c r="A442" s="69"/>
      <c r="B442" s="64" t="str">
        <f t="shared" si="56"/>
        <v/>
      </c>
      <c r="C442" s="69"/>
      <c r="D442" s="64" t="str">
        <f t="shared" si="57"/>
        <v/>
      </c>
      <c r="E442" s="102"/>
      <c r="F442" s="64" t="str">
        <f t="shared" si="60"/>
        <v/>
      </c>
      <c r="G442" s="64" t="str">
        <f t="shared" si="58"/>
        <v/>
      </c>
      <c r="H442" s="101"/>
      <c r="I442" s="101"/>
      <c r="J442" s="101"/>
      <c r="K442" s="112"/>
      <c r="L442" s="111"/>
      <c r="M442" s="111"/>
      <c r="N442" s="112"/>
      <c r="O442" s="235"/>
      <c r="P442" s="68"/>
      <c r="R442" t="str">
        <f t="shared" si="53"/>
        <v/>
      </c>
      <c r="S442" t="str">
        <f t="shared" si="54"/>
        <v/>
      </c>
      <c r="T442" t="str">
        <f t="shared" si="55"/>
        <v/>
      </c>
      <c r="AD442" t="s">
        <v>2275</v>
      </c>
      <c r="AE442" t="s">
        <v>2276</v>
      </c>
      <c r="AF442" t="str">
        <f t="shared" si="59"/>
        <v>A679078</v>
      </c>
      <c r="AG442" t="str">
        <f>VLOOKUP(AF442,AKT!$C$4:$E$324,3,FALSE)</f>
        <v>0942</v>
      </c>
    </row>
    <row r="443" spans="1:33">
      <c r="A443" s="69"/>
      <c r="B443" s="64" t="str">
        <f t="shared" si="56"/>
        <v/>
      </c>
      <c r="C443" s="69"/>
      <c r="D443" s="64" t="str">
        <f t="shared" si="57"/>
        <v/>
      </c>
      <c r="E443" s="102"/>
      <c r="F443" s="64" t="str">
        <f t="shared" si="60"/>
        <v/>
      </c>
      <c r="G443" s="64" t="str">
        <f t="shared" si="58"/>
        <v/>
      </c>
      <c r="H443" s="101"/>
      <c r="I443" s="101"/>
      <c r="J443" s="101"/>
      <c r="K443" s="112"/>
      <c r="L443" s="111"/>
      <c r="M443" s="111"/>
      <c r="N443" s="112"/>
      <c r="O443" s="235"/>
      <c r="P443" s="68"/>
      <c r="R443" t="str">
        <f t="shared" si="53"/>
        <v/>
      </c>
      <c r="S443" t="str">
        <f t="shared" si="54"/>
        <v/>
      </c>
      <c r="T443" t="str">
        <f t="shared" si="55"/>
        <v/>
      </c>
      <c r="AD443" t="s">
        <v>2277</v>
      </c>
      <c r="AE443" t="s">
        <v>2278</v>
      </c>
      <c r="AF443" t="str">
        <f t="shared" si="59"/>
        <v>A679078</v>
      </c>
      <c r="AG443" t="str">
        <f>VLOOKUP(AF443,AKT!$C$4:$E$324,3,FALSE)</f>
        <v>0942</v>
      </c>
    </row>
    <row r="444" spans="1:33">
      <c r="A444" s="69"/>
      <c r="B444" s="64" t="str">
        <f t="shared" si="56"/>
        <v/>
      </c>
      <c r="C444" s="69"/>
      <c r="D444" s="64" t="str">
        <f t="shared" si="57"/>
        <v/>
      </c>
      <c r="E444" s="102"/>
      <c r="F444" s="64" t="str">
        <f t="shared" si="60"/>
        <v/>
      </c>
      <c r="G444" s="64" t="str">
        <f t="shared" si="58"/>
        <v/>
      </c>
      <c r="H444" s="101"/>
      <c r="I444" s="101"/>
      <c r="J444" s="101"/>
      <c r="K444" s="112"/>
      <c r="L444" s="111"/>
      <c r="M444" s="111"/>
      <c r="N444" s="112"/>
      <c r="O444" s="235"/>
      <c r="P444" s="68"/>
      <c r="R444" t="str">
        <f t="shared" si="53"/>
        <v/>
      </c>
      <c r="S444" t="str">
        <f t="shared" si="54"/>
        <v/>
      </c>
      <c r="T444" t="str">
        <f t="shared" si="55"/>
        <v/>
      </c>
      <c r="AD444" t="s">
        <v>2279</v>
      </c>
      <c r="AE444" t="s">
        <v>2280</v>
      </c>
      <c r="AF444" t="str">
        <f t="shared" si="59"/>
        <v>A679078</v>
      </c>
      <c r="AG444" t="str">
        <f>VLOOKUP(AF444,AKT!$C$4:$E$324,3,FALSE)</f>
        <v>0942</v>
      </c>
    </row>
    <row r="445" spans="1:33">
      <c r="A445" s="69"/>
      <c r="B445" s="64" t="str">
        <f t="shared" si="56"/>
        <v/>
      </c>
      <c r="C445" s="69"/>
      <c r="D445" s="64" t="str">
        <f t="shared" si="57"/>
        <v/>
      </c>
      <c r="E445" s="102"/>
      <c r="F445" s="64" t="str">
        <f t="shared" si="60"/>
        <v/>
      </c>
      <c r="G445" s="64" t="str">
        <f t="shared" si="58"/>
        <v/>
      </c>
      <c r="H445" s="101"/>
      <c r="I445" s="101"/>
      <c r="J445" s="101"/>
      <c r="K445" s="112"/>
      <c r="L445" s="111"/>
      <c r="M445" s="111"/>
      <c r="N445" s="112"/>
      <c r="O445" s="235"/>
      <c r="P445" s="68"/>
      <c r="R445" t="str">
        <f t="shared" si="53"/>
        <v/>
      </c>
      <c r="S445" t="str">
        <f t="shared" si="54"/>
        <v/>
      </c>
      <c r="T445" t="str">
        <f t="shared" si="55"/>
        <v/>
      </c>
      <c r="AD445" t="s">
        <v>2281</v>
      </c>
      <c r="AE445" t="s">
        <v>2282</v>
      </c>
      <c r="AF445" t="str">
        <f t="shared" si="59"/>
        <v>A679078</v>
      </c>
      <c r="AG445" t="str">
        <f>VLOOKUP(AF445,AKT!$C$4:$E$324,3,FALSE)</f>
        <v>0942</v>
      </c>
    </row>
    <row r="446" spans="1:33">
      <c r="A446" s="69"/>
      <c r="B446" s="64" t="str">
        <f t="shared" si="56"/>
        <v/>
      </c>
      <c r="C446" s="69"/>
      <c r="D446" s="64" t="str">
        <f t="shared" si="57"/>
        <v/>
      </c>
      <c r="E446" s="102"/>
      <c r="F446" s="64" t="str">
        <f t="shared" si="60"/>
        <v/>
      </c>
      <c r="G446" s="64" t="str">
        <f t="shared" si="58"/>
        <v/>
      </c>
      <c r="H446" s="101"/>
      <c r="I446" s="101"/>
      <c r="J446" s="101"/>
      <c r="K446" s="112"/>
      <c r="L446" s="111"/>
      <c r="M446" s="111"/>
      <c r="N446" s="112"/>
      <c r="O446" s="235"/>
      <c r="P446" s="68"/>
      <c r="R446" t="str">
        <f t="shared" si="53"/>
        <v/>
      </c>
      <c r="S446" t="str">
        <f t="shared" si="54"/>
        <v/>
      </c>
      <c r="T446" t="str">
        <f t="shared" si="55"/>
        <v/>
      </c>
      <c r="AD446" t="s">
        <v>2283</v>
      </c>
      <c r="AE446" t="s">
        <v>2284</v>
      </c>
      <c r="AF446" t="str">
        <f t="shared" si="59"/>
        <v>A679078</v>
      </c>
      <c r="AG446" t="str">
        <f>VLOOKUP(AF446,AKT!$C$4:$E$324,3,FALSE)</f>
        <v>0942</v>
      </c>
    </row>
    <row r="447" spans="1:33">
      <c r="A447" s="69"/>
      <c r="B447" s="64" t="str">
        <f t="shared" si="56"/>
        <v/>
      </c>
      <c r="C447" s="69"/>
      <c r="D447" s="64" t="str">
        <f t="shared" si="57"/>
        <v/>
      </c>
      <c r="E447" s="102"/>
      <c r="F447" s="64" t="str">
        <f t="shared" si="60"/>
        <v/>
      </c>
      <c r="G447" s="64" t="str">
        <f t="shared" si="58"/>
        <v/>
      </c>
      <c r="H447" s="101"/>
      <c r="I447" s="101"/>
      <c r="J447" s="101"/>
      <c r="K447" s="112"/>
      <c r="L447" s="111"/>
      <c r="M447" s="111"/>
      <c r="N447" s="112"/>
      <c r="O447" s="235"/>
      <c r="P447" s="68"/>
      <c r="R447" t="str">
        <f t="shared" ref="R447:R496" si="61">LEFT(C447,3)</f>
        <v/>
      </c>
      <c r="S447" t="str">
        <f t="shared" ref="S447:S496" si="62">LEFT(C447,2)</f>
        <v/>
      </c>
      <c r="T447" t="str">
        <f t="shared" ref="T447:T496" si="63">MID(G447,2,2)</f>
        <v/>
      </c>
      <c r="AD447" t="s">
        <v>2285</v>
      </c>
      <c r="AE447" t="s">
        <v>2286</v>
      </c>
      <c r="AF447" t="str">
        <f t="shared" si="59"/>
        <v>A679078</v>
      </c>
      <c r="AG447" t="str">
        <f>VLOOKUP(AF447,AKT!$C$4:$E$324,3,FALSE)</f>
        <v>0942</v>
      </c>
    </row>
    <row r="448" spans="1:33">
      <c r="A448" s="69"/>
      <c r="B448" s="64" t="str">
        <f t="shared" si="56"/>
        <v/>
      </c>
      <c r="C448" s="69"/>
      <c r="D448" s="64" t="str">
        <f t="shared" si="57"/>
        <v/>
      </c>
      <c r="E448" s="102"/>
      <c r="F448" s="64" t="str">
        <f t="shared" si="60"/>
        <v/>
      </c>
      <c r="G448" s="64" t="str">
        <f t="shared" si="58"/>
        <v/>
      </c>
      <c r="H448" s="101"/>
      <c r="I448" s="101"/>
      <c r="J448" s="101"/>
      <c r="K448" s="112"/>
      <c r="L448" s="111"/>
      <c r="M448" s="111"/>
      <c r="N448" s="112"/>
      <c r="O448" s="235"/>
      <c r="P448" s="68"/>
      <c r="R448" t="str">
        <f t="shared" si="61"/>
        <v/>
      </c>
      <c r="S448" t="str">
        <f t="shared" si="62"/>
        <v/>
      </c>
      <c r="T448" t="str">
        <f t="shared" si="63"/>
        <v/>
      </c>
      <c r="AD448" t="s">
        <v>2287</v>
      </c>
      <c r="AE448" t="s">
        <v>2288</v>
      </c>
      <c r="AF448" t="str">
        <f t="shared" si="59"/>
        <v>A679078</v>
      </c>
      <c r="AG448" t="str">
        <f>VLOOKUP(AF448,AKT!$C$4:$E$324,3,FALSE)</f>
        <v>0942</v>
      </c>
    </row>
    <row r="449" spans="1:33">
      <c r="A449" s="69"/>
      <c r="B449" s="64" t="str">
        <f t="shared" si="56"/>
        <v/>
      </c>
      <c r="C449" s="69"/>
      <c r="D449" s="64" t="str">
        <f t="shared" si="57"/>
        <v/>
      </c>
      <c r="E449" s="102"/>
      <c r="F449" s="64" t="str">
        <f t="shared" si="60"/>
        <v/>
      </c>
      <c r="G449" s="64" t="str">
        <f t="shared" si="58"/>
        <v/>
      </c>
      <c r="H449" s="101"/>
      <c r="I449" s="101"/>
      <c r="J449" s="101"/>
      <c r="K449" s="112"/>
      <c r="L449" s="111"/>
      <c r="M449" s="111"/>
      <c r="N449" s="112"/>
      <c r="O449" s="235"/>
      <c r="P449" s="68"/>
      <c r="R449" t="str">
        <f t="shared" si="61"/>
        <v/>
      </c>
      <c r="S449" t="str">
        <f t="shared" si="62"/>
        <v/>
      </c>
      <c r="T449" t="str">
        <f t="shared" si="63"/>
        <v/>
      </c>
      <c r="AD449" t="s">
        <v>2289</v>
      </c>
      <c r="AE449" t="s">
        <v>2290</v>
      </c>
      <c r="AF449" t="str">
        <f t="shared" si="59"/>
        <v>A679078</v>
      </c>
      <c r="AG449" t="str">
        <f>VLOOKUP(AF449,AKT!$C$4:$E$324,3,FALSE)</f>
        <v>0942</v>
      </c>
    </row>
    <row r="450" spans="1:33">
      <c r="A450" s="69"/>
      <c r="B450" s="64" t="str">
        <f t="shared" si="56"/>
        <v/>
      </c>
      <c r="C450" s="69"/>
      <c r="D450" s="64" t="str">
        <f t="shared" si="57"/>
        <v/>
      </c>
      <c r="E450" s="102"/>
      <c r="F450" s="64" t="str">
        <f t="shared" si="60"/>
        <v/>
      </c>
      <c r="G450" s="64" t="str">
        <f t="shared" si="58"/>
        <v/>
      </c>
      <c r="H450" s="101"/>
      <c r="I450" s="101"/>
      <c r="J450" s="101"/>
      <c r="K450" s="112"/>
      <c r="L450" s="111"/>
      <c r="M450" s="111"/>
      <c r="N450" s="112"/>
      <c r="O450" s="235"/>
      <c r="P450" s="68"/>
      <c r="R450" t="str">
        <f t="shared" si="61"/>
        <v/>
      </c>
      <c r="S450" t="str">
        <f t="shared" si="62"/>
        <v/>
      </c>
      <c r="T450" t="str">
        <f t="shared" si="63"/>
        <v/>
      </c>
      <c r="AD450" t="s">
        <v>2291</v>
      </c>
      <c r="AE450" t="s">
        <v>2292</v>
      </c>
      <c r="AF450" t="str">
        <f t="shared" si="59"/>
        <v>A679078</v>
      </c>
      <c r="AG450" t="str">
        <f>VLOOKUP(AF450,AKT!$C$4:$E$324,3,FALSE)</f>
        <v>0942</v>
      </c>
    </row>
    <row r="451" spans="1:33">
      <c r="A451" s="69"/>
      <c r="B451" s="64" t="str">
        <f t="shared" ref="B451:B496" si="64">IFERROR(VLOOKUP(A451,$U$6:$V$23,2,FALSE),"")</f>
        <v/>
      </c>
      <c r="C451" s="69"/>
      <c r="D451" s="64" t="str">
        <f t="shared" ref="D451:D496" si="65">IFERROR(VLOOKUP(C451,$X$5:$Z$124,2,FALSE),"")</f>
        <v/>
      </c>
      <c r="E451" s="102"/>
      <c r="F451" s="64" t="str">
        <f t="shared" si="60"/>
        <v/>
      </c>
      <c r="G451" s="64" t="str">
        <f t="shared" ref="G451:G496" si="66">IFERROR(VLOOKUP(E451,$AD$6:$AG$1085,4,FALSE),"")</f>
        <v/>
      </c>
      <c r="H451" s="101"/>
      <c r="I451" s="101"/>
      <c r="J451" s="101"/>
      <c r="K451" s="112"/>
      <c r="L451" s="111"/>
      <c r="M451" s="111"/>
      <c r="N451" s="112"/>
      <c r="O451" s="235"/>
      <c r="P451" s="68"/>
      <c r="R451" t="str">
        <f t="shared" si="61"/>
        <v/>
      </c>
      <c r="S451" t="str">
        <f t="shared" si="62"/>
        <v/>
      </c>
      <c r="T451" t="str">
        <f t="shared" si="63"/>
        <v/>
      </c>
      <c r="AD451" t="s">
        <v>2293</v>
      </c>
      <c r="AE451" t="s">
        <v>2294</v>
      </c>
      <c r="AF451" t="str">
        <f t="shared" ref="AF451:AF514" si="67">LEFT(AD451,7)</f>
        <v>A679078</v>
      </c>
      <c r="AG451" t="str">
        <f>VLOOKUP(AF451,AKT!$C$4:$E$324,3,FALSE)</f>
        <v>0942</v>
      </c>
    </row>
    <row r="452" spans="1:33">
      <c r="A452" s="69"/>
      <c r="B452" s="64" t="str">
        <f t="shared" si="64"/>
        <v/>
      </c>
      <c r="C452" s="69"/>
      <c r="D452" s="64" t="str">
        <f t="shared" si="65"/>
        <v/>
      </c>
      <c r="E452" s="102"/>
      <c r="F452" s="64" t="str">
        <f t="shared" si="60"/>
        <v/>
      </c>
      <c r="G452" s="64" t="str">
        <f t="shared" si="66"/>
        <v/>
      </c>
      <c r="H452" s="101"/>
      <c r="I452" s="101"/>
      <c r="J452" s="101"/>
      <c r="K452" s="112"/>
      <c r="L452" s="111"/>
      <c r="M452" s="111"/>
      <c r="N452" s="112"/>
      <c r="O452" s="235"/>
      <c r="P452" s="68"/>
      <c r="R452" t="str">
        <f t="shared" si="61"/>
        <v/>
      </c>
      <c r="S452" t="str">
        <f t="shared" si="62"/>
        <v/>
      </c>
      <c r="T452" t="str">
        <f t="shared" si="63"/>
        <v/>
      </c>
      <c r="AD452" t="s">
        <v>2295</v>
      </c>
      <c r="AE452" t="s">
        <v>2296</v>
      </c>
      <c r="AF452" t="str">
        <f t="shared" si="67"/>
        <v>A679078</v>
      </c>
      <c r="AG452" t="str">
        <f>VLOOKUP(AF452,AKT!$C$4:$E$324,3,FALSE)</f>
        <v>0942</v>
      </c>
    </row>
    <row r="453" spans="1:33">
      <c r="A453" s="69"/>
      <c r="B453" s="64" t="str">
        <f t="shared" si="64"/>
        <v/>
      </c>
      <c r="C453" s="69"/>
      <c r="D453" s="64" t="str">
        <f t="shared" si="65"/>
        <v/>
      </c>
      <c r="E453" s="102"/>
      <c r="F453" s="64" t="str">
        <f t="shared" si="60"/>
        <v/>
      </c>
      <c r="G453" s="64" t="str">
        <f t="shared" si="66"/>
        <v/>
      </c>
      <c r="H453" s="101"/>
      <c r="I453" s="101"/>
      <c r="J453" s="101"/>
      <c r="K453" s="112"/>
      <c r="L453" s="111"/>
      <c r="M453" s="111"/>
      <c r="N453" s="112"/>
      <c r="O453" s="235"/>
      <c r="P453" s="68"/>
      <c r="R453" t="str">
        <f t="shared" si="61"/>
        <v/>
      </c>
      <c r="S453" t="str">
        <f t="shared" si="62"/>
        <v/>
      </c>
      <c r="T453" t="str">
        <f t="shared" si="63"/>
        <v/>
      </c>
      <c r="AD453" t="s">
        <v>2297</v>
      </c>
      <c r="AE453" t="s">
        <v>2298</v>
      </c>
      <c r="AF453" t="str">
        <f t="shared" si="67"/>
        <v>A679078</v>
      </c>
      <c r="AG453" t="str">
        <f>VLOOKUP(AF453,AKT!$C$4:$E$324,3,FALSE)</f>
        <v>0942</v>
      </c>
    </row>
    <row r="454" spans="1:33">
      <c r="A454" s="69"/>
      <c r="B454" s="64" t="str">
        <f t="shared" si="64"/>
        <v/>
      </c>
      <c r="C454" s="69"/>
      <c r="D454" s="64" t="str">
        <f t="shared" si="65"/>
        <v/>
      </c>
      <c r="E454" s="102"/>
      <c r="F454" s="64" t="str">
        <f t="shared" si="60"/>
        <v/>
      </c>
      <c r="G454" s="64" t="str">
        <f t="shared" si="66"/>
        <v/>
      </c>
      <c r="H454" s="101"/>
      <c r="I454" s="101"/>
      <c r="J454" s="101"/>
      <c r="K454" s="112"/>
      <c r="L454" s="111"/>
      <c r="M454" s="111"/>
      <c r="N454" s="112"/>
      <c r="O454" s="235"/>
      <c r="P454" s="68"/>
      <c r="R454" t="str">
        <f t="shared" si="61"/>
        <v/>
      </c>
      <c r="S454" t="str">
        <f t="shared" si="62"/>
        <v/>
      </c>
      <c r="T454" t="str">
        <f t="shared" si="63"/>
        <v/>
      </c>
      <c r="AD454" t="s">
        <v>2299</v>
      </c>
      <c r="AE454" t="s">
        <v>2300</v>
      </c>
      <c r="AF454" t="str">
        <f t="shared" si="67"/>
        <v>A679078</v>
      </c>
      <c r="AG454" t="str">
        <f>VLOOKUP(AF454,AKT!$C$4:$E$324,3,FALSE)</f>
        <v>0942</v>
      </c>
    </row>
    <row r="455" spans="1:33">
      <c r="A455" s="69"/>
      <c r="B455" s="64" t="str">
        <f t="shared" si="64"/>
        <v/>
      </c>
      <c r="C455" s="69"/>
      <c r="D455" s="64" t="str">
        <f t="shared" si="65"/>
        <v/>
      </c>
      <c r="E455" s="102"/>
      <c r="F455" s="64" t="str">
        <f t="shared" si="60"/>
        <v/>
      </c>
      <c r="G455" s="64" t="str">
        <f t="shared" si="66"/>
        <v/>
      </c>
      <c r="H455" s="101"/>
      <c r="I455" s="101"/>
      <c r="J455" s="101"/>
      <c r="K455" s="112"/>
      <c r="L455" s="111"/>
      <c r="M455" s="111"/>
      <c r="N455" s="112"/>
      <c r="O455" s="235"/>
      <c r="P455" s="68"/>
      <c r="R455" t="str">
        <f t="shared" si="61"/>
        <v/>
      </c>
      <c r="S455" t="str">
        <f t="shared" si="62"/>
        <v/>
      </c>
      <c r="T455" t="str">
        <f t="shared" si="63"/>
        <v/>
      </c>
      <c r="AD455" t="s">
        <v>2301</v>
      </c>
      <c r="AE455" t="s">
        <v>2302</v>
      </c>
      <c r="AF455" t="str">
        <f t="shared" si="67"/>
        <v>A679078</v>
      </c>
      <c r="AG455" t="str">
        <f>VLOOKUP(AF455,AKT!$C$4:$E$324,3,FALSE)</f>
        <v>0942</v>
      </c>
    </row>
    <row r="456" spans="1:33">
      <c r="A456" s="69"/>
      <c r="B456" s="64" t="str">
        <f t="shared" si="64"/>
        <v/>
      </c>
      <c r="C456" s="69"/>
      <c r="D456" s="64" t="str">
        <f t="shared" si="65"/>
        <v/>
      </c>
      <c r="E456" s="102"/>
      <c r="F456" s="64" t="str">
        <f t="shared" si="60"/>
        <v/>
      </c>
      <c r="G456" s="64" t="str">
        <f t="shared" si="66"/>
        <v/>
      </c>
      <c r="H456" s="101"/>
      <c r="I456" s="101"/>
      <c r="J456" s="101"/>
      <c r="K456" s="112"/>
      <c r="L456" s="111"/>
      <c r="M456" s="111"/>
      <c r="N456" s="112"/>
      <c r="O456" s="235"/>
      <c r="P456" s="68"/>
      <c r="R456" t="str">
        <f t="shared" si="61"/>
        <v/>
      </c>
      <c r="S456" t="str">
        <f t="shared" si="62"/>
        <v/>
      </c>
      <c r="T456" t="str">
        <f t="shared" si="63"/>
        <v/>
      </c>
      <c r="AD456" t="s">
        <v>2303</v>
      </c>
      <c r="AE456" t="s">
        <v>2304</v>
      </c>
      <c r="AF456" t="str">
        <f t="shared" si="67"/>
        <v>A679078</v>
      </c>
      <c r="AG456" t="str">
        <f>VLOOKUP(AF456,AKT!$C$4:$E$324,3,FALSE)</f>
        <v>0942</v>
      </c>
    </row>
    <row r="457" spans="1:33">
      <c r="A457" s="69"/>
      <c r="B457" s="64" t="str">
        <f t="shared" si="64"/>
        <v/>
      </c>
      <c r="C457" s="69"/>
      <c r="D457" s="64" t="str">
        <f t="shared" si="65"/>
        <v/>
      </c>
      <c r="E457" s="102"/>
      <c r="F457" s="64" t="str">
        <f t="shared" si="60"/>
        <v/>
      </c>
      <c r="G457" s="64" t="str">
        <f t="shared" si="66"/>
        <v/>
      </c>
      <c r="H457" s="101"/>
      <c r="I457" s="101"/>
      <c r="J457" s="101"/>
      <c r="K457" s="112"/>
      <c r="L457" s="111"/>
      <c r="M457" s="111"/>
      <c r="N457" s="112"/>
      <c r="O457" s="235"/>
      <c r="P457" s="68"/>
      <c r="R457" t="str">
        <f t="shared" si="61"/>
        <v/>
      </c>
      <c r="S457" t="str">
        <f t="shared" si="62"/>
        <v/>
      </c>
      <c r="T457" t="str">
        <f t="shared" si="63"/>
        <v/>
      </c>
      <c r="AD457" t="s">
        <v>2305</v>
      </c>
      <c r="AE457" t="s">
        <v>2306</v>
      </c>
      <c r="AF457" t="str">
        <f t="shared" si="67"/>
        <v>A679078</v>
      </c>
      <c r="AG457" t="str">
        <f>VLOOKUP(AF457,AKT!$C$4:$E$324,3,FALSE)</f>
        <v>0942</v>
      </c>
    </row>
    <row r="458" spans="1:33">
      <c r="A458" s="69"/>
      <c r="B458" s="64" t="str">
        <f t="shared" si="64"/>
        <v/>
      </c>
      <c r="C458" s="69"/>
      <c r="D458" s="64" t="str">
        <f t="shared" si="65"/>
        <v/>
      </c>
      <c r="E458" s="102"/>
      <c r="F458" s="64" t="str">
        <f t="shared" si="60"/>
        <v/>
      </c>
      <c r="G458" s="64" t="str">
        <f t="shared" si="66"/>
        <v/>
      </c>
      <c r="H458" s="101"/>
      <c r="I458" s="101"/>
      <c r="J458" s="101"/>
      <c r="K458" s="112"/>
      <c r="L458" s="111"/>
      <c r="M458" s="111"/>
      <c r="N458" s="112"/>
      <c r="O458" s="235"/>
      <c r="P458" s="68"/>
      <c r="R458" t="str">
        <f t="shared" si="61"/>
        <v/>
      </c>
      <c r="S458" t="str">
        <f t="shared" si="62"/>
        <v/>
      </c>
      <c r="T458" t="str">
        <f t="shared" si="63"/>
        <v/>
      </c>
      <c r="AD458" t="s">
        <v>2307</v>
      </c>
      <c r="AE458" t="s">
        <v>2308</v>
      </c>
      <c r="AF458" t="str">
        <f t="shared" si="67"/>
        <v>A679078</v>
      </c>
      <c r="AG458" t="str">
        <f>VLOOKUP(AF458,AKT!$C$4:$E$324,3,FALSE)</f>
        <v>0942</v>
      </c>
    </row>
    <row r="459" spans="1:33">
      <c r="A459" s="69"/>
      <c r="B459" s="64" t="str">
        <f t="shared" si="64"/>
        <v/>
      </c>
      <c r="C459" s="69"/>
      <c r="D459" s="64" t="str">
        <f t="shared" si="65"/>
        <v/>
      </c>
      <c r="E459" s="102"/>
      <c r="F459" s="64" t="str">
        <f t="shared" si="60"/>
        <v/>
      </c>
      <c r="G459" s="64" t="str">
        <f t="shared" si="66"/>
        <v/>
      </c>
      <c r="H459" s="101"/>
      <c r="I459" s="101"/>
      <c r="J459" s="101"/>
      <c r="K459" s="112"/>
      <c r="L459" s="111"/>
      <c r="M459" s="111"/>
      <c r="N459" s="112"/>
      <c r="O459" s="235"/>
      <c r="P459" s="68"/>
      <c r="R459" t="str">
        <f t="shared" si="61"/>
        <v/>
      </c>
      <c r="S459" t="str">
        <f t="shared" si="62"/>
        <v/>
      </c>
      <c r="T459" t="str">
        <f t="shared" si="63"/>
        <v/>
      </c>
      <c r="AD459" t="s">
        <v>2309</v>
      </c>
      <c r="AE459" t="s">
        <v>2310</v>
      </c>
      <c r="AF459" t="str">
        <f t="shared" si="67"/>
        <v>A679078</v>
      </c>
      <c r="AG459" t="str">
        <f>VLOOKUP(AF459,AKT!$C$4:$E$324,3,FALSE)</f>
        <v>0942</v>
      </c>
    </row>
    <row r="460" spans="1:33">
      <c r="A460" s="69"/>
      <c r="B460" s="64" t="str">
        <f t="shared" si="64"/>
        <v/>
      </c>
      <c r="C460" s="69"/>
      <c r="D460" s="64" t="str">
        <f t="shared" si="65"/>
        <v/>
      </c>
      <c r="E460" s="102"/>
      <c r="F460" s="64" t="str">
        <f t="shared" si="60"/>
        <v/>
      </c>
      <c r="G460" s="64" t="str">
        <f t="shared" si="66"/>
        <v/>
      </c>
      <c r="H460" s="101"/>
      <c r="I460" s="101"/>
      <c r="J460" s="101"/>
      <c r="K460" s="112"/>
      <c r="L460" s="111"/>
      <c r="M460" s="111"/>
      <c r="N460" s="112"/>
      <c r="O460" s="235"/>
      <c r="P460" s="68"/>
      <c r="R460" t="str">
        <f t="shared" si="61"/>
        <v/>
      </c>
      <c r="S460" t="str">
        <f t="shared" si="62"/>
        <v/>
      </c>
      <c r="T460" t="str">
        <f t="shared" si="63"/>
        <v/>
      </c>
      <c r="AD460" t="s">
        <v>2311</v>
      </c>
      <c r="AE460" t="s">
        <v>2312</v>
      </c>
      <c r="AF460" t="str">
        <f t="shared" si="67"/>
        <v>A679078</v>
      </c>
      <c r="AG460" t="str">
        <f>VLOOKUP(AF460,AKT!$C$4:$E$324,3,FALSE)</f>
        <v>0942</v>
      </c>
    </row>
    <row r="461" spans="1:33">
      <c r="A461" s="69"/>
      <c r="B461" s="64" t="str">
        <f t="shared" si="64"/>
        <v/>
      </c>
      <c r="C461" s="69"/>
      <c r="D461" s="64" t="str">
        <f t="shared" si="65"/>
        <v/>
      </c>
      <c r="E461" s="102"/>
      <c r="F461" s="64" t="str">
        <f t="shared" si="60"/>
        <v/>
      </c>
      <c r="G461" s="64" t="str">
        <f t="shared" si="66"/>
        <v/>
      </c>
      <c r="H461" s="101"/>
      <c r="I461" s="101"/>
      <c r="J461" s="101"/>
      <c r="K461" s="112"/>
      <c r="L461" s="111"/>
      <c r="M461" s="111"/>
      <c r="N461" s="112"/>
      <c r="O461" s="235"/>
      <c r="P461" s="68"/>
      <c r="R461" t="str">
        <f t="shared" si="61"/>
        <v/>
      </c>
      <c r="S461" t="str">
        <f t="shared" si="62"/>
        <v/>
      </c>
      <c r="T461" t="str">
        <f t="shared" si="63"/>
        <v/>
      </c>
      <c r="AD461" t="s">
        <v>2313</v>
      </c>
      <c r="AE461" t="s">
        <v>2314</v>
      </c>
      <c r="AF461" t="str">
        <f t="shared" si="67"/>
        <v>A679078</v>
      </c>
      <c r="AG461" t="str">
        <f>VLOOKUP(AF461,AKT!$C$4:$E$324,3,FALSE)</f>
        <v>0942</v>
      </c>
    </row>
    <row r="462" spans="1:33">
      <c r="A462" s="69"/>
      <c r="B462" s="64" t="str">
        <f t="shared" si="64"/>
        <v/>
      </c>
      <c r="C462" s="69"/>
      <c r="D462" s="64" t="str">
        <f t="shared" si="65"/>
        <v/>
      </c>
      <c r="E462" s="102"/>
      <c r="F462" s="64" t="str">
        <f t="shared" si="60"/>
        <v/>
      </c>
      <c r="G462" s="64" t="str">
        <f t="shared" si="66"/>
        <v/>
      </c>
      <c r="H462" s="101"/>
      <c r="I462" s="101"/>
      <c r="J462" s="101"/>
      <c r="K462" s="112"/>
      <c r="L462" s="111"/>
      <c r="M462" s="111"/>
      <c r="N462" s="112"/>
      <c r="O462" s="112"/>
      <c r="P462" s="68"/>
      <c r="R462" t="str">
        <f t="shared" si="61"/>
        <v/>
      </c>
      <c r="S462" t="str">
        <f t="shared" si="62"/>
        <v/>
      </c>
      <c r="T462" t="str">
        <f t="shared" si="63"/>
        <v/>
      </c>
      <c r="AD462" t="s">
        <v>2315</v>
      </c>
      <c r="AE462" t="s">
        <v>2316</v>
      </c>
      <c r="AF462" t="str">
        <f t="shared" si="67"/>
        <v>A679078</v>
      </c>
      <c r="AG462" t="str">
        <f>VLOOKUP(AF462,AKT!$C$4:$E$324,3,FALSE)</f>
        <v>0942</v>
      </c>
    </row>
    <row r="463" spans="1:33">
      <c r="A463" s="69"/>
      <c r="B463" s="64" t="str">
        <f t="shared" si="64"/>
        <v/>
      </c>
      <c r="C463" s="69"/>
      <c r="D463" s="64" t="str">
        <f t="shared" si="65"/>
        <v/>
      </c>
      <c r="E463" s="102"/>
      <c r="F463" s="64" t="str">
        <f t="shared" si="60"/>
        <v/>
      </c>
      <c r="G463" s="64" t="str">
        <f t="shared" si="66"/>
        <v/>
      </c>
      <c r="H463" s="101"/>
      <c r="I463" s="101"/>
      <c r="J463" s="101"/>
      <c r="K463" s="112"/>
      <c r="L463" s="111"/>
      <c r="M463" s="111"/>
      <c r="N463" s="112"/>
      <c r="O463" s="112"/>
      <c r="P463" s="68"/>
      <c r="R463" t="str">
        <f t="shared" si="61"/>
        <v/>
      </c>
      <c r="S463" t="str">
        <f t="shared" si="62"/>
        <v/>
      </c>
      <c r="T463" t="str">
        <f t="shared" si="63"/>
        <v/>
      </c>
      <c r="AD463" t="s">
        <v>2317</v>
      </c>
      <c r="AE463" t="s">
        <v>2318</v>
      </c>
      <c r="AF463" t="str">
        <f t="shared" si="67"/>
        <v>A679078</v>
      </c>
      <c r="AG463" t="str">
        <f>VLOOKUP(AF463,AKT!$C$4:$E$324,3,FALSE)</f>
        <v>0942</v>
      </c>
    </row>
    <row r="464" spans="1:33">
      <c r="A464" s="69"/>
      <c r="B464" s="64" t="str">
        <f t="shared" si="64"/>
        <v/>
      </c>
      <c r="C464" s="69"/>
      <c r="D464" s="64" t="str">
        <f t="shared" si="65"/>
        <v/>
      </c>
      <c r="E464" s="102"/>
      <c r="F464" s="64" t="str">
        <f t="shared" si="60"/>
        <v/>
      </c>
      <c r="G464" s="64" t="str">
        <f t="shared" si="66"/>
        <v/>
      </c>
      <c r="H464" s="101"/>
      <c r="I464" s="101"/>
      <c r="J464" s="101"/>
      <c r="K464" s="112"/>
      <c r="L464" s="111"/>
      <c r="M464" s="111"/>
      <c r="N464" s="112"/>
      <c r="O464" s="112"/>
      <c r="P464" s="68"/>
      <c r="R464" t="str">
        <f t="shared" si="61"/>
        <v/>
      </c>
      <c r="S464" t="str">
        <f t="shared" si="62"/>
        <v/>
      </c>
      <c r="T464" t="str">
        <f t="shared" si="63"/>
        <v/>
      </c>
      <c r="AD464" t="s">
        <v>2319</v>
      </c>
      <c r="AE464" t="s">
        <v>2320</v>
      </c>
      <c r="AF464" t="str">
        <f t="shared" si="67"/>
        <v>A679078</v>
      </c>
      <c r="AG464" t="str">
        <f>VLOOKUP(AF464,AKT!$C$4:$E$324,3,FALSE)</f>
        <v>0942</v>
      </c>
    </row>
    <row r="465" spans="1:33">
      <c r="A465" s="69"/>
      <c r="B465" s="64" t="str">
        <f t="shared" si="64"/>
        <v/>
      </c>
      <c r="C465" s="69"/>
      <c r="D465" s="64" t="str">
        <f t="shared" si="65"/>
        <v/>
      </c>
      <c r="E465" s="102"/>
      <c r="F465" s="64" t="str">
        <f t="shared" si="60"/>
        <v/>
      </c>
      <c r="G465" s="64" t="str">
        <f t="shared" si="66"/>
        <v/>
      </c>
      <c r="H465" s="101"/>
      <c r="I465" s="101"/>
      <c r="J465" s="101"/>
      <c r="K465" s="112"/>
      <c r="L465" s="111"/>
      <c r="M465" s="111"/>
      <c r="N465" s="112"/>
      <c r="O465" s="112"/>
      <c r="P465" s="68"/>
      <c r="R465" t="str">
        <f t="shared" si="61"/>
        <v/>
      </c>
      <c r="S465" t="str">
        <f t="shared" si="62"/>
        <v/>
      </c>
      <c r="T465" t="str">
        <f t="shared" si="63"/>
        <v/>
      </c>
      <c r="AD465" t="s">
        <v>2321</v>
      </c>
      <c r="AE465" t="s">
        <v>2322</v>
      </c>
      <c r="AF465" t="str">
        <f t="shared" si="67"/>
        <v>A679078</v>
      </c>
      <c r="AG465" t="str">
        <f>VLOOKUP(AF465,AKT!$C$4:$E$324,3,FALSE)</f>
        <v>0942</v>
      </c>
    </row>
    <row r="466" spans="1:33">
      <c r="A466" s="69"/>
      <c r="B466" s="64" t="str">
        <f t="shared" si="64"/>
        <v/>
      </c>
      <c r="C466" s="69"/>
      <c r="D466" s="64" t="str">
        <f t="shared" si="65"/>
        <v/>
      </c>
      <c r="E466" s="102"/>
      <c r="F466" s="64" t="str">
        <f t="shared" si="60"/>
        <v/>
      </c>
      <c r="G466" s="64" t="str">
        <f t="shared" si="66"/>
        <v/>
      </c>
      <c r="H466" s="101"/>
      <c r="I466" s="101"/>
      <c r="J466" s="101"/>
      <c r="K466" s="112"/>
      <c r="L466" s="111"/>
      <c r="M466" s="111"/>
      <c r="N466" s="112"/>
      <c r="O466" s="112"/>
      <c r="P466" s="68"/>
      <c r="R466" t="str">
        <f t="shared" si="61"/>
        <v/>
      </c>
      <c r="S466" t="str">
        <f t="shared" si="62"/>
        <v/>
      </c>
      <c r="T466" t="str">
        <f t="shared" si="63"/>
        <v/>
      </c>
      <c r="AD466" t="s">
        <v>2323</v>
      </c>
      <c r="AE466" t="s">
        <v>2324</v>
      </c>
      <c r="AF466" t="str">
        <f t="shared" si="67"/>
        <v>A679078</v>
      </c>
      <c r="AG466" t="str">
        <f>VLOOKUP(AF466,AKT!$C$4:$E$324,3,FALSE)</f>
        <v>0942</v>
      </c>
    </row>
    <row r="467" spans="1:33">
      <c r="A467" s="69"/>
      <c r="B467" s="64" t="str">
        <f t="shared" si="64"/>
        <v/>
      </c>
      <c r="C467" s="69"/>
      <c r="D467" s="64" t="str">
        <f t="shared" si="65"/>
        <v/>
      </c>
      <c r="E467" s="102"/>
      <c r="F467" s="64" t="str">
        <f t="shared" si="60"/>
        <v/>
      </c>
      <c r="G467" s="64" t="str">
        <f t="shared" si="66"/>
        <v/>
      </c>
      <c r="H467" s="101"/>
      <c r="I467" s="101"/>
      <c r="J467" s="101"/>
      <c r="K467" s="112"/>
      <c r="L467" s="111"/>
      <c r="M467" s="111"/>
      <c r="N467" s="112"/>
      <c r="O467" s="112"/>
      <c r="P467" s="68"/>
      <c r="R467" t="str">
        <f t="shared" si="61"/>
        <v/>
      </c>
      <c r="S467" t="str">
        <f t="shared" si="62"/>
        <v/>
      </c>
      <c r="T467" t="str">
        <f t="shared" si="63"/>
        <v/>
      </c>
      <c r="AD467" t="s">
        <v>2325</v>
      </c>
      <c r="AE467" t="s">
        <v>2326</v>
      </c>
      <c r="AF467" t="str">
        <f t="shared" si="67"/>
        <v>A679078</v>
      </c>
      <c r="AG467" t="str">
        <f>VLOOKUP(AF467,AKT!$C$4:$E$324,3,FALSE)</f>
        <v>0942</v>
      </c>
    </row>
    <row r="468" spans="1:33">
      <c r="A468" s="69"/>
      <c r="B468" s="64" t="str">
        <f t="shared" si="64"/>
        <v/>
      </c>
      <c r="C468" s="69"/>
      <c r="D468" s="64" t="str">
        <f t="shared" si="65"/>
        <v/>
      </c>
      <c r="E468" s="102"/>
      <c r="F468" s="64" t="str">
        <f t="shared" si="60"/>
        <v/>
      </c>
      <c r="G468" s="64" t="str">
        <f t="shared" si="66"/>
        <v/>
      </c>
      <c r="H468" s="101"/>
      <c r="I468" s="101"/>
      <c r="J468" s="101"/>
      <c r="K468" s="112"/>
      <c r="L468" s="111"/>
      <c r="M468" s="111"/>
      <c r="N468" s="112"/>
      <c r="O468" s="112"/>
      <c r="P468" s="68"/>
      <c r="R468" t="str">
        <f t="shared" si="61"/>
        <v/>
      </c>
      <c r="S468" t="str">
        <f t="shared" si="62"/>
        <v/>
      </c>
      <c r="T468" t="str">
        <f t="shared" si="63"/>
        <v/>
      </c>
      <c r="AD468" t="s">
        <v>2327</v>
      </c>
      <c r="AE468" t="s">
        <v>2328</v>
      </c>
      <c r="AF468" t="str">
        <f t="shared" si="67"/>
        <v>A679078</v>
      </c>
      <c r="AG468" t="str">
        <f>VLOOKUP(AF468,AKT!$C$4:$E$324,3,FALSE)</f>
        <v>0942</v>
      </c>
    </row>
    <row r="469" spans="1:33">
      <c r="A469" s="69"/>
      <c r="B469" s="64" t="str">
        <f t="shared" si="64"/>
        <v/>
      </c>
      <c r="C469" s="69"/>
      <c r="D469" s="64" t="str">
        <f t="shared" si="65"/>
        <v/>
      </c>
      <c r="E469" s="102"/>
      <c r="F469" s="64" t="str">
        <f t="shared" si="60"/>
        <v/>
      </c>
      <c r="G469" s="64" t="str">
        <f t="shared" si="66"/>
        <v/>
      </c>
      <c r="H469" s="101"/>
      <c r="I469" s="101"/>
      <c r="J469" s="101"/>
      <c r="K469" s="112"/>
      <c r="L469" s="111"/>
      <c r="M469" s="111"/>
      <c r="N469" s="112"/>
      <c r="O469" s="112"/>
      <c r="P469" s="68"/>
      <c r="R469" t="str">
        <f t="shared" si="61"/>
        <v/>
      </c>
      <c r="S469" t="str">
        <f t="shared" si="62"/>
        <v/>
      </c>
      <c r="T469" t="str">
        <f t="shared" si="63"/>
        <v/>
      </c>
      <c r="AD469" t="s">
        <v>2329</v>
      </c>
      <c r="AE469" t="s">
        <v>2330</v>
      </c>
      <c r="AF469" t="str">
        <f t="shared" si="67"/>
        <v>A679078</v>
      </c>
      <c r="AG469" t="str">
        <f>VLOOKUP(AF469,AKT!$C$4:$E$324,3,FALSE)</f>
        <v>0942</v>
      </c>
    </row>
    <row r="470" spans="1:33">
      <c r="A470" s="69"/>
      <c r="B470" s="64" t="str">
        <f t="shared" si="64"/>
        <v/>
      </c>
      <c r="C470" s="69"/>
      <c r="D470" s="64" t="str">
        <f t="shared" si="65"/>
        <v/>
      </c>
      <c r="E470" s="102"/>
      <c r="F470" s="64" t="str">
        <f t="shared" si="60"/>
        <v/>
      </c>
      <c r="G470" s="64" t="str">
        <f t="shared" si="66"/>
        <v/>
      </c>
      <c r="H470" s="101"/>
      <c r="I470" s="101"/>
      <c r="J470" s="101"/>
      <c r="K470" s="112"/>
      <c r="L470" s="111"/>
      <c r="M470" s="111"/>
      <c r="N470" s="112"/>
      <c r="O470" s="112"/>
      <c r="P470" s="68"/>
      <c r="R470" t="str">
        <f t="shared" si="61"/>
        <v/>
      </c>
      <c r="S470" t="str">
        <f t="shared" si="62"/>
        <v/>
      </c>
      <c r="T470" t="str">
        <f t="shared" si="63"/>
        <v/>
      </c>
      <c r="AD470" t="s">
        <v>2331</v>
      </c>
      <c r="AE470" t="s">
        <v>2332</v>
      </c>
      <c r="AF470" t="str">
        <f t="shared" si="67"/>
        <v>A679078</v>
      </c>
      <c r="AG470" t="str">
        <f>VLOOKUP(AF470,AKT!$C$4:$E$324,3,FALSE)</f>
        <v>0942</v>
      </c>
    </row>
    <row r="471" spans="1:33">
      <c r="A471" s="69"/>
      <c r="B471" s="64" t="str">
        <f t="shared" si="64"/>
        <v/>
      </c>
      <c r="C471" s="69"/>
      <c r="D471" s="64" t="str">
        <f t="shared" si="65"/>
        <v/>
      </c>
      <c r="E471" s="102"/>
      <c r="F471" s="64" t="str">
        <f t="shared" si="60"/>
        <v/>
      </c>
      <c r="G471" s="64" t="str">
        <f t="shared" si="66"/>
        <v/>
      </c>
      <c r="H471" s="101"/>
      <c r="I471" s="101"/>
      <c r="J471" s="101"/>
      <c r="K471" s="112"/>
      <c r="L471" s="111"/>
      <c r="M471" s="111"/>
      <c r="N471" s="112"/>
      <c r="O471" s="112"/>
      <c r="P471" s="68"/>
      <c r="R471" t="str">
        <f t="shared" si="61"/>
        <v/>
      </c>
      <c r="S471" t="str">
        <f t="shared" si="62"/>
        <v/>
      </c>
      <c r="T471" t="str">
        <f t="shared" si="63"/>
        <v/>
      </c>
      <c r="AD471" t="s">
        <v>2333</v>
      </c>
      <c r="AE471" t="s">
        <v>2334</v>
      </c>
      <c r="AF471" t="str">
        <f t="shared" si="67"/>
        <v>A679078</v>
      </c>
      <c r="AG471" t="str">
        <f>VLOOKUP(AF471,AKT!$C$4:$E$324,3,FALSE)</f>
        <v>0942</v>
      </c>
    </row>
    <row r="472" spans="1:33">
      <c r="A472" s="69"/>
      <c r="B472" s="64" t="str">
        <f t="shared" si="64"/>
        <v/>
      </c>
      <c r="C472" s="69"/>
      <c r="D472" s="64" t="str">
        <f t="shared" si="65"/>
        <v/>
      </c>
      <c r="E472" s="102"/>
      <c r="F472" s="64" t="str">
        <f t="shared" si="60"/>
        <v/>
      </c>
      <c r="G472" s="64" t="str">
        <f t="shared" si="66"/>
        <v/>
      </c>
      <c r="H472" s="101"/>
      <c r="I472" s="101"/>
      <c r="J472" s="101"/>
      <c r="K472" s="112"/>
      <c r="L472" s="111"/>
      <c r="M472" s="111"/>
      <c r="N472" s="112"/>
      <c r="O472" s="112"/>
      <c r="P472" s="68"/>
      <c r="R472" t="str">
        <f t="shared" si="61"/>
        <v/>
      </c>
      <c r="S472" t="str">
        <f t="shared" si="62"/>
        <v/>
      </c>
      <c r="T472" t="str">
        <f t="shared" si="63"/>
        <v/>
      </c>
      <c r="AD472" t="s">
        <v>2335</v>
      </c>
      <c r="AE472" t="s">
        <v>2336</v>
      </c>
      <c r="AF472" t="str">
        <f t="shared" si="67"/>
        <v>A679078</v>
      </c>
      <c r="AG472" t="str">
        <f>VLOOKUP(AF472,AKT!$C$4:$E$324,3,FALSE)</f>
        <v>0942</v>
      </c>
    </row>
    <row r="473" spans="1:33">
      <c r="A473" s="69"/>
      <c r="B473" s="64" t="str">
        <f t="shared" si="64"/>
        <v/>
      </c>
      <c r="C473" s="69"/>
      <c r="D473" s="64" t="str">
        <f t="shared" si="65"/>
        <v/>
      </c>
      <c r="E473" s="102"/>
      <c r="F473" s="64" t="str">
        <f t="shared" si="60"/>
        <v/>
      </c>
      <c r="G473" s="64" t="str">
        <f t="shared" si="66"/>
        <v/>
      </c>
      <c r="H473" s="101"/>
      <c r="I473" s="101"/>
      <c r="J473" s="101"/>
      <c r="K473" s="112"/>
      <c r="L473" s="111"/>
      <c r="M473" s="111"/>
      <c r="N473" s="112"/>
      <c r="O473" s="112"/>
      <c r="P473" s="68"/>
      <c r="R473" t="str">
        <f t="shared" si="61"/>
        <v/>
      </c>
      <c r="S473" t="str">
        <f t="shared" si="62"/>
        <v/>
      </c>
      <c r="T473" t="str">
        <f t="shared" si="63"/>
        <v/>
      </c>
      <c r="AD473" t="s">
        <v>2337</v>
      </c>
      <c r="AE473" t="s">
        <v>2338</v>
      </c>
      <c r="AF473" t="str">
        <f t="shared" si="67"/>
        <v>A679078</v>
      </c>
      <c r="AG473" t="str">
        <f>VLOOKUP(AF473,AKT!$C$4:$E$324,3,FALSE)</f>
        <v>0942</v>
      </c>
    </row>
    <row r="474" spans="1:33">
      <c r="A474" s="69"/>
      <c r="B474" s="64" t="str">
        <f t="shared" si="64"/>
        <v/>
      </c>
      <c r="C474" s="69"/>
      <c r="D474" s="64" t="str">
        <f t="shared" si="65"/>
        <v/>
      </c>
      <c r="E474" s="102"/>
      <c r="F474" s="64" t="str">
        <f t="shared" si="60"/>
        <v/>
      </c>
      <c r="G474" s="64" t="str">
        <f t="shared" si="66"/>
        <v/>
      </c>
      <c r="H474" s="101"/>
      <c r="I474" s="101"/>
      <c r="J474" s="101"/>
      <c r="K474" s="112"/>
      <c r="L474" s="111"/>
      <c r="M474" s="111"/>
      <c r="N474" s="112"/>
      <c r="O474" s="112"/>
      <c r="P474" s="68"/>
      <c r="R474" t="str">
        <f t="shared" si="61"/>
        <v/>
      </c>
      <c r="S474" t="str">
        <f t="shared" si="62"/>
        <v/>
      </c>
      <c r="T474" t="str">
        <f t="shared" si="63"/>
        <v/>
      </c>
      <c r="AD474" t="s">
        <v>2339</v>
      </c>
      <c r="AE474" t="s">
        <v>2340</v>
      </c>
      <c r="AF474" t="str">
        <f t="shared" si="67"/>
        <v>A679078</v>
      </c>
      <c r="AG474" t="str">
        <f>VLOOKUP(AF474,AKT!$C$4:$E$324,3,FALSE)</f>
        <v>0942</v>
      </c>
    </row>
    <row r="475" spans="1:33">
      <c r="A475" s="69"/>
      <c r="B475" s="64" t="str">
        <f t="shared" si="64"/>
        <v/>
      </c>
      <c r="C475" s="69"/>
      <c r="D475" s="64" t="str">
        <f t="shared" si="65"/>
        <v/>
      </c>
      <c r="E475" s="102"/>
      <c r="F475" s="64" t="str">
        <f t="shared" si="60"/>
        <v/>
      </c>
      <c r="G475" s="64" t="str">
        <f t="shared" si="66"/>
        <v/>
      </c>
      <c r="H475" s="101"/>
      <c r="I475" s="101"/>
      <c r="J475" s="101"/>
      <c r="K475" s="112"/>
      <c r="L475" s="111"/>
      <c r="M475" s="111"/>
      <c r="N475" s="112"/>
      <c r="O475" s="112"/>
      <c r="P475" s="68"/>
      <c r="R475" t="str">
        <f t="shared" si="61"/>
        <v/>
      </c>
      <c r="S475" t="str">
        <f t="shared" si="62"/>
        <v/>
      </c>
      <c r="T475" t="str">
        <f t="shared" si="63"/>
        <v/>
      </c>
      <c r="AD475" t="s">
        <v>2341</v>
      </c>
      <c r="AE475" t="s">
        <v>2342</v>
      </c>
      <c r="AF475" t="str">
        <f t="shared" si="67"/>
        <v>A679078</v>
      </c>
      <c r="AG475" t="str">
        <f>VLOOKUP(AF475,AKT!$C$4:$E$324,3,FALSE)</f>
        <v>0942</v>
      </c>
    </row>
    <row r="476" spans="1:33">
      <c r="A476" s="69"/>
      <c r="B476" s="64" t="str">
        <f t="shared" si="64"/>
        <v/>
      </c>
      <c r="C476" s="69"/>
      <c r="D476" s="64" t="str">
        <f t="shared" si="65"/>
        <v/>
      </c>
      <c r="E476" s="102"/>
      <c r="F476" s="64" t="str">
        <f t="shared" si="60"/>
        <v/>
      </c>
      <c r="G476" s="64" t="str">
        <f t="shared" si="66"/>
        <v/>
      </c>
      <c r="H476" s="101"/>
      <c r="I476" s="101"/>
      <c r="J476" s="101"/>
      <c r="K476" s="112"/>
      <c r="L476" s="111"/>
      <c r="M476" s="111"/>
      <c r="N476" s="112"/>
      <c r="O476" s="112"/>
      <c r="P476" s="68"/>
      <c r="R476" t="str">
        <f t="shared" si="61"/>
        <v/>
      </c>
      <c r="S476" t="str">
        <f t="shared" si="62"/>
        <v/>
      </c>
      <c r="T476" t="str">
        <f t="shared" si="63"/>
        <v/>
      </c>
      <c r="AD476" t="s">
        <v>2343</v>
      </c>
      <c r="AE476" t="s">
        <v>2344</v>
      </c>
      <c r="AF476" t="str">
        <f t="shared" si="67"/>
        <v>A679078</v>
      </c>
      <c r="AG476" t="str">
        <f>VLOOKUP(AF476,AKT!$C$4:$E$324,3,FALSE)</f>
        <v>0942</v>
      </c>
    </row>
    <row r="477" spans="1:33">
      <c r="A477" s="69"/>
      <c r="B477" s="64" t="str">
        <f t="shared" si="64"/>
        <v/>
      </c>
      <c r="C477" s="69"/>
      <c r="D477" s="64" t="str">
        <f t="shared" si="65"/>
        <v/>
      </c>
      <c r="E477" s="102"/>
      <c r="F477" s="64" t="str">
        <f t="shared" si="60"/>
        <v/>
      </c>
      <c r="G477" s="64" t="str">
        <f t="shared" si="66"/>
        <v/>
      </c>
      <c r="H477" s="101"/>
      <c r="I477" s="101"/>
      <c r="J477" s="101"/>
      <c r="K477" s="112"/>
      <c r="L477" s="111"/>
      <c r="M477" s="111"/>
      <c r="N477" s="112"/>
      <c r="O477" s="112"/>
      <c r="P477" s="68"/>
      <c r="R477" t="str">
        <f t="shared" si="61"/>
        <v/>
      </c>
      <c r="S477" t="str">
        <f t="shared" si="62"/>
        <v/>
      </c>
      <c r="T477" t="str">
        <f t="shared" si="63"/>
        <v/>
      </c>
      <c r="AD477" t="s">
        <v>2345</v>
      </c>
      <c r="AE477" t="s">
        <v>2346</v>
      </c>
      <c r="AF477" t="str">
        <f t="shared" si="67"/>
        <v>A679078</v>
      </c>
      <c r="AG477" t="str">
        <f>VLOOKUP(AF477,AKT!$C$4:$E$324,3,FALSE)</f>
        <v>0942</v>
      </c>
    </row>
    <row r="478" spans="1:33">
      <c r="A478" s="69"/>
      <c r="B478" s="64" t="str">
        <f t="shared" si="64"/>
        <v/>
      </c>
      <c r="C478" s="69"/>
      <c r="D478" s="64" t="str">
        <f t="shared" si="65"/>
        <v/>
      </c>
      <c r="E478" s="102"/>
      <c r="F478" s="64" t="str">
        <f t="shared" si="60"/>
        <v/>
      </c>
      <c r="G478" s="64" t="str">
        <f t="shared" si="66"/>
        <v/>
      </c>
      <c r="H478" s="101"/>
      <c r="I478" s="101"/>
      <c r="J478" s="101"/>
      <c r="K478" s="112"/>
      <c r="L478" s="111"/>
      <c r="M478" s="111"/>
      <c r="N478" s="112"/>
      <c r="O478" s="112"/>
      <c r="P478" s="68"/>
      <c r="R478" t="str">
        <f t="shared" si="61"/>
        <v/>
      </c>
      <c r="S478" t="str">
        <f t="shared" si="62"/>
        <v/>
      </c>
      <c r="T478" t="str">
        <f t="shared" si="63"/>
        <v/>
      </c>
      <c r="AD478" t="s">
        <v>2347</v>
      </c>
      <c r="AE478" t="s">
        <v>2348</v>
      </c>
      <c r="AF478" t="str">
        <f t="shared" si="67"/>
        <v>A679078</v>
      </c>
      <c r="AG478" t="str">
        <f>VLOOKUP(AF478,AKT!$C$4:$E$324,3,FALSE)</f>
        <v>0942</v>
      </c>
    </row>
    <row r="479" spans="1:33">
      <c r="A479" s="69"/>
      <c r="B479" s="64" t="str">
        <f t="shared" si="64"/>
        <v/>
      </c>
      <c r="C479" s="69"/>
      <c r="D479" s="64" t="str">
        <f t="shared" si="65"/>
        <v/>
      </c>
      <c r="E479" s="102"/>
      <c r="F479" s="64" t="str">
        <f t="shared" si="60"/>
        <v/>
      </c>
      <c r="G479" s="64" t="str">
        <f t="shared" si="66"/>
        <v/>
      </c>
      <c r="H479" s="101"/>
      <c r="I479" s="101"/>
      <c r="J479" s="101"/>
      <c r="K479" s="112"/>
      <c r="L479" s="111"/>
      <c r="M479" s="111"/>
      <c r="N479" s="112"/>
      <c r="O479" s="112"/>
      <c r="P479" s="68"/>
      <c r="R479" t="str">
        <f t="shared" si="61"/>
        <v/>
      </c>
      <c r="S479" t="str">
        <f t="shared" si="62"/>
        <v/>
      </c>
      <c r="T479" t="str">
        <f t="shared" si="63"/>
        <v/>
      </c>
      <c r="AD479" t="s">
        <v>2349</v>
      </c>
      <c r="AE479" t="s">
        <v>2350</v>
      </c>
      <c r="AF479" t="str">
        <f t="shared" si="67"/>
        <v>A679078</v>
      </c>
      <c r="AG479" t="str">
        <f>VLOOKUP(AF479,AKT!$C$4:$E$324,3,FALSE)</f>
        <v>0942</v>
      </c>
    </row>
    <row r="480" spans="1:33">
      <c r="A480" s="69"/>
      <c r="B480" s="64" t="str">
        <f t="shared" si="64"/>
        <v/>
      </c>
      <c r="C480" s="69"/>
      <c r="D480" s="64" t="str">
        <f t="shared" si="65"/>
        <v/>
      </c>
      <c r="E480" s="102"/>
      <c r="F480" s="64" t="str">
        <f t="shared" si="60"/>
        <v/>
      </c>
      <c r="G480" s="64" t="str">
        <f t="shared" si="66"/>
        <v/>
      </c>
      <c r="H480" s="101"/>
      <c r="I480" s="101"/>
      <c r="J480" s="101"/>
      <c r="K480" s="112"/>
      <c r="L480" s="111"/>
      <c r="M480" s="111"/>
      <c r="N480" s="112"/>
      <c r="O480" s="112"/>
      <c r="P480" s="68"/>
      <c r="R480" t="str">
        <f t="shared" si="61"/>
        <v/>
      </c>
      <c r="S480" t="str">
        <f t="shared" si="62"/>
        <v/>
      </c>
      <c r="T480" t="str">
        <f t="shared" si="63"/>
        <v/>
      </c>
      <c r="AD480" t="s">
        <v>2351</v>
      </c>
      <c r="AE480" t="s">
        <v>2352</v>
      </c>
      <c r="AF480" t="str">
        <f t="shared" si="67"/>
        <v>A679078</v>
      </c>
      <c r="AG480" t="str">
        <f>VLOOKUP(AF480,AKT!$C$4:$E$324,3,FALSE)</f>
        <v>0942</v>
      </c>
    </row>
    <row r="481" spans="1:33">
      <c r="A481" s="69"/>
      <c r="B481" s="64" t="str">
        <f t="shared" si="64"/>
        <v/>
      </c>
      <c r="C481" s="69"/>
      <c r="D481" s="64" t="str">
        <f t="shared" si="65"/>
        <v/>
      </c>
      <c r="E481" s="102"/>
      <c r="F481" s="64" t="str">
        <f t="shared" si="60"/>
        <v/>
      </c>
      <c r="G481" s="64" t="str">
        <f t="shared" si="66"/>
        <v/>
      </c>
      <c r="H481" s="101"/>
      <c r="I481" s="101"/>
      <c r="J481" s="101"/>
      <c r="K481" s="112"/>
      <c r="L481" s="111"/>
      <c r="M481" s="111"/>
      <c r="N481" s="112"/>
      <c r="O481" s="112"/>
      <c r="P481" s="68"/>
      <c r="R481" t="str">
        <f t="shared" si="61"/>
        <v/>
      </c>
      <c r="S481" t="str">
        <f t="shared" si="62"/>
        <v/>
      </c>
      <c r="T481" t="str">
        <f t="shared" si="63"/>
        <v/>
      </c>
      <c r="AD481" t="s">
        <v>2353</v>
      </c>
      <c r="AE481" t="s">
        <v>2354</v>
      </c>
      <c r="AF481" t="str">
        <f t="shared" si="67"/>
        <v>A679078</v>
      </c>
      <c r="AG481" t="str">
        <f>VLOOKUP(AF481,AKT!$C$4:$E$324,3,FALSE)</f>
        <v>0942</v>
      </c>
    </row>
    <row r="482" spans="1:33">
      <c r="A482" s="69"/>
      <c r="B482" s="64" t="str">
        <f t="shared" si="64"/>
        <v/>
      </c>
      <c r="C482" s="69"/>
      <c r="D482" s="64" t="str">
        <f t="shared" si="65"/>
        <v/>
      </c>
      <c r="E482" s="102"/>
      <c r="F482" s="64" t="str">
        <f t="shared" si="60"/>
        <v/>
      </c>
      <c r="G482" s="64" t="str">
        <f t="shared" si="66"/>
        <v/>
      </c>
      <c r="H482" s="101"/>
      <c r="I482" s="101"/>
      <c r="J482" s="101"/>
      <c r="K482" s="112"/>
      <c r="L482" s="111"/>
      <c r="M482" s="111"/>
      <c r="N482" s="112"/>
      <c r="O482" s="112"/>
      <c r="P482" s="68"/>
      <c r="R482" t="str">
        <f t="shared" si="61"/>
        <v/>
      </c>
      <c r="S482" t="str">
        <f t="shared" si="62"/>
        <v/>
      </c>
      <c r="T482" t="str">
        <f t="shared" si="63"/>
        <v/>
      </c>
      <c r="AD482" t="s">
        <v>2355</v>
      </c>
      <c r="AE482" t="s">
        <v>2356</v>
      </c>
      <c r="AF482" t="str">
        <f t="shared" si="67"/>
        <v>A679078</v>
      </c>
      <c r="AG482" t="str">
        <f>VLOOKUP(AF482,AKT!$C$4:$E$324,3,FALSE)</f>
        <v>0942</v>
      </c>
    </row>
    <row r="483" spans="1:33">
      <c r="A483" s="69"/>
      <c r="B483" s="64" t="str">
        <f t="shared" si="64"/>
        <v/>
      </c>
      <c r="C483" s="69"/>
      <c r="D483" s="64" t="str">
        <f t="shared" si="65"/>
        <v/>
      </c>
      <c r="E483" s="102"/>
      <c r="F483" s="64" t="str">
        <f t="shared" si="60"/>
        <v/>
      </c>
      <c r="G483" s="64" t="str">
        <f t="shared" si="66"/>
        <v/>
      </c>
      <c r="H483" s="101"/>
      <c r="I483" s="101"/>
      <c r="J483" s="101"/>
      <c r="K483" s="112"/>
      <c r="L483" s="111"/>
      <c r="M483" s="111"/>
      <c r="N483" s="112"/>
      <c r="O483" s="112"/>
      <c r="P483" s="68"/>
      <c r="R483" t="str">
        <f t="shared" si="61"/>
        <v/>
      </c>
      <c r="S483" t="str">
        <f t="shared" si="62"/>
        <v/>
      </c>
      <c r="T483" t="str">
        <f t="shared" si="63"/>
        <v/>
      </c>
      <c r="AD483" t="s">
        <v>2357</v>
      </c>
      <c r="AE483" t="s">
        <v>2358</v>
      </c>
      <c r="AF483" t="str">
        <f t="shared" si="67"/>
        <v>A679078</v>
      </c>
      <c r="AG483" t="str">
        <f>VLOOKUP(AF483,AKT!$C$4:$E$324,3,FALSE)</f>
        <v>0942</v>
      </c>
    </row>
    <row r="484" spans="1:33">
      <c r="A484" s="69"/>
      <c r="B484" s="64" t="str">
        <f t="shared" si="64"/>
        <v/>
      </c>
      <c r="C484" s="69"/>
      <c r="D484" s="64" t="str">
        <f t="shared" si="65"/>
        <v/>
      </c>
      <c r="E484" s="102"/>
      <c r="F484" s="64" t="str">
        <f t="shared" si="60"/>
        <v/>
      </c>
      <c r="G484" s="64" t="str">
        <f t="shared" si="66"/>
        <v/>
      </c>
      <c r="H484" s="101"/>
      <c r="I484" s="101"/>
      <c r="J484" s="101"/>
      <c r="K484" s="112"/>
      <c r="L484" s="111"/>
      <c r="M484" s="111"/>
      <c r="N484" s="112"/>
      <c r="O484" s="112"/>
      <c r="P484" s="68"/>
      <c r="R484" t="str">
        <f t="shared" si="61"/>
        <v/>
      </c>
      <c r="S484" t="str">
        <f t="shared" si="62"/>
        <v/>
      </c>
      <c r="T484" t="str">
        <f t="shared" si="63"/>
        <v/>
      </c>
      <c r="AD484" t="s">
        <v>2359</v>
      </c>
      <c r="AE484" t="s">
        <v>2360</v>
      </c>
      <c r="AF484" t="str">
        <f t="shared" si="67"/>
        <v>A679078</v>
      </c>
      <c r="AG484" t="str">
        <f>VLOOKUP(AF484,AKT!$C$4:$E$324,3,FALSE)</f>
        <v>0942</v>
      </c>
    </row>
    <row r="485" spans="1:33">
      <c r="A485" s="69"/>
      <c r="B485" s="64" t="str">
        <f t="shared" si="64"/>
        <v/>
      </c>
      <c r="C485" s="69"/>
      <c r="D485" s="64" t="str">
        <f t="shared" si="65"/>
        <v/>
      </c>
      <c r="E485" s="102"/>
      <c r="F485" s="64" t="str">
        <f t="shared" si="60"/>
        <v/>
      </c>
      <c r="G485" s="64" t="str">
        <f t="shared" si="66"/>
        <v/>
      </c>
      <c r="H485" s="101"/>
      <c r="I485" s="101"/>
      <c r="J485" s="101"/>
      <c r="K485" s="112"/>
      <c r="L485" s="111"/>
      <c r="M485" s="111"/>
      <c r="N485" s="112"/>
      <c r="O485" s="112"/>
      <c r="P485" s="68"/>
      <c r="R485" t="str">
        <f t="shared" si="61"/>
        <v/>
      </c>
      <c r="S485" t="str">
        <f t="shared" si="62"/>
        <v/>
      </c>
      <c r="T485" t="str">
        <f t="shared" si="63"/>
        <v/>
      </c>
      <c r="AD485" t="s">
        <v>2361</v>
      </c>
      <c r="AE485" t="s">
        <v>2362</v>
      </c>
      <c r="AF485" t="str">
        <f t="shared" si="67"/>
        <v>A679078</v>
      </c>
      <c r="AG485" t="str">
        <f>VLOOKUP(AF485,AKT!$C$4:$E$324,3,FALSE)</f>
        <v>0942</v>
      </c>
    </row>
    <row r="486" spans="1:33">
      <c r="A486" s="69"/>
      <c r="B486" s="64" t="str">
        <f t="shared" si="64"/>
        <v/>
      </c>
      <c r="C486" s="69"/>
      <c r="D486" s="64" t="str">
        <f t="shared" si="65"/>
        <v/>
      </c>
      <c r="E486" s="102"/>
      <c r="F486" s="64" t="str">
        <f t="shared" si="60"/>
        <v/>
      </c>
      <c r="G486" s="64" t="str">
        <f t="shared" si="66"/>
        <v/>
      </c>
      <c r="H486" s="101"/>
      <c r="I486" s="101"/>
      <c r="J486" s="101"/>
      <c r="K486" s="112"/>
      <c r="L486" s="111"/>
      <c r="M486" s="111"/>
      <c r="N486" s="112"/>
      <c r="O486" s="112"/>
      <c r="P486" s="68"/>
      <c r="R486" t="str">
        <f t="shared" si="61"/>
        <v/>
      </c>
      <c r="S486" t="str">
        <f t="shared" si="62"/>
        <v/>
      </c>
      <c r="T486" t="str">
        <f t="shared" si="63"/>
        <v/>
      </c>
      <c r="AD486" t="s">
        <v>2363</v>
      </c>
      <c r="AE486" t="s">
        <v>2364</v>
      </c>
      <c r="AF486" t="str">
        <f t="shared" si="67"/>
        <v>A679078</v>
      </c>
      <c r="AG486" t="str">
        <f>VLOOKUP(AF486,AKT!$C$4:$E$324,3,FALSE)</f>
        <v>0942</v>
      </c>
    </row>
    <row r="487" spans="1:33">
      <c r="A487" s="69"/>
      <c r="B487" s="64" t="str">
        <f t="shared" si="64"/>
        <v/>
      </c>
      <c r="C487" s="69"/>
      <c r="D487" s="64" t="str">
        <f t="shared" si="65"/>
        <v/>
      </c>
      <c r="E487" s="102"/>
      <c r="F487" s="64" t="str">
        <f t="shared" si="60"/>
        <v/>
      </c>
      <c r="G487" s="64" t="str">
        <f t="shared" si="66"/>
        <v/>
      </c>
      <c r="H487" s="101"/>
      <c r="I487" s="101"/>
      <c r="J487" s="101"/>
      <c r="K487" s="112"/>
      <c r="L487" s="111"/>
      <c r="M487" s="111"/>
      <c r="N487" s="112"/>
      <c r="O487" s="112"/>
      <c r="P487" s="68"/>
      <c r="R487" t="str">
        <f t="shared" si="61"/>
        <v/>
      </c>
      <c r="S487" t="str">
        <f t="shared" si="62"/>
        <v/>
      </c>
      <c r="T487" t="str">
        <f t="shared" si="63"/>
        <v/>
      </c>
      <c r="AD487" t="s">
        <v>2365</v>
      </c>
      <c r="AE487" t="s">
        <v>2366</v>
      </c>
      <c r="AF487" t="str">
        <f t="shared" si="67"/>
        <v>A679078</v>
      </c>
      <c r="AG487" t="str">
        <f>VLOOKUP(AF487,AKT!$C$4:$E$324,3,FALSE)</f>
        <v>0942</v>
      </c>
    </row>
    <row r="488" spans="1:33">
      <c r="A488" s="69"/>
      <c r="B488" s="64" t="str">
        <f t="shared" si="64"/>
        <v/>
      </c>
      <c r="C488" s="69"/>
      <c r="D488" s="64" t="str">
        <f t="shared" si="65"/>
        <v/>
      </c>
      <c r="E488" s="102"/>
      <c r="F488" s="64" t="str">
        <f t="shared" si="60"/>
        <v/>
      </c>
      <c r="G488" s="64" t="str">
        <f t="shared" si="66"/>
        <v/>
      </c>
      <c r="H488" s="101"/>
      <c r="I488" s="101"/>
      <c r="J488" s="101"/>
      <c r="K488" s="112"/>
      <c r="L488" s="111"/>
      <c r="M488" s="111"/>
      <c r="N488" s="112"/>
      <c r="O488" s="112"/>
      <c r="P488" s="68"/>
      <c r="R488" t="str">
        <f t="shared" si="61"/>
        <v/>
      </c>
      <c r="S488" t="str">
        <f t="shared" si="62"/>
        <v/>
      </c>
      <c r="T488" t="str">
        <f t="shared" si="63"/>
        <v/>
      </c>
      <c r="AD488" t="s">
        <v>2367</v>
      </c>
      <c r="AE488" t="s">
        <v>2368</v>
      </c>
      <c r="AF488" t="str">
        <f t="shared" si="67"/>
        <v>A679078</v>
      </c>
      <c r="AG488" t="str">
        <f>VLOOKUP(AF488,AKT!$C$4:$E$324,3,FALSE)</f>
        <v>0942</v>
      </c>
    </row>
    <row r="489" spans="1:33">
      <c r="A489" s="69"/>
      <c r="B489" s="64" t="str">
        <f t="shared" si="64"/>
        <v/>
      </c>
      <c r="C489" s="69"/>
      <c r="D489" s="64" t="str">
        <f t="shared" si="65"/>
        <v/>
      </c>
      <c r="E489" s="102"/>
      <c r="F489" s="64" t="str">
        <f t="shared" si="60"/>
        <v/>
      </c>
      <c r="G489" s="64" t="str">
        <f t="shared" si="66"/>
        <v/>
      </c>
      <c r="H489" s="101"/>
      <c r="I489" s="101"/>
      <c r="J489" s="101"/>
      <c r="K489" s="112"/>
      <c r="L489" s="111"/>
      <c r="M489" s="111"/>
      <c r="N489" s="112"/>
      <c r="O489" s="112"/>
      <c r="P489" s="68"/>
      <c r="R489" t="str">
        <f t="shared" si="61"/>
        <v/>
      </c>
      <c r="S489" t="str">
        <f t="shared" si="62"/>
        <v/>
      </c>
      <c r="T489" t="str">
        <f t="shared" si="63"/>
        <v/>
      </c>
      <c r="AD489" t="s">
        <v>2369</v>
      </c>
      <c r="AE489" t="s">
        <v>2370</v>
      </c>
      <c r="AF489" t="str">
        <f t="shared" si="67"/>
        <v>A679078</v>
      </c>
      <c r="AG489" t="str">
        <f>VLOOKUP(AF489,AKT!$C$4:$E$324,3,FALSE)</f>
        <v>0942</v>
      </c>
    </row>
    <row r="490" spans="1:33">
      <c r="A490" s="69"/>
      <c r="B490" s="64" t="str">
        <f t="shared" si="64"/>
        <v/>
      </c>
      <c r="C490" s="69"/>
      <c r="D490" s="64" t="str">
        <f t="shared" si="65"/>
        <v/>
      </c>
      <c r="E490" s="102"/>
      <c r="F490" s="64" t="str">
        <f t="shared" ref="F490:F496" si="68">IFERROR(VLOOKUP(E490,$AD$6:$AE$1085,2,FALSE),"")</f>
        <v/>
      </c>
      <c r="G490" s="64" t="str">
        <f t="shared" si="66"/>
        <v/>
      </c>
      <c r="H490" s="101"/>
      <c r="I490" s="101"/>
      <c r="J490" s="101"/>
      <c r="K490" s="112"/>
      <c r="L490" s="111"/>
      <c r="M490" s="111"/>
      <c r="N490" s="112"/>
      <c r="O490" s="112"/>
      <c r="P490" s="68"/>
      <c r="R490" t="str">
        <f t="shared" si="61"/>
        <v/>
      </c>
      <c r="S490" t="str">
        <f t="shared" si="62"/>
        <v/>
      </c>
      <c r="T490" t="str">
        <f t="shared" si="63"/>
        <v/>
      </c>
      <c r="AD490" t="s">
        <v>2371</v>
      </c>
      <c r="AE490" t="s">
        <v>2372</v>
      </c>
      <c r="AF490" t="str">
        <f t="shared" si="67"/>
        <v>A679078</v>
      </c>
      <c r="AG490" t="str">
        <f>VLOOKUP(AF490,AKT!$C$4:$E$324,3,FALSE)</f>
        <v>0942</v>
      </c>
    </row>
    <row r="491" spans="1:33">
      <c r="A491" s="69"/>
      <c r="B491" s="64" t="str">
        <f t="shared" si="64"/>
        <v/>
      </c>
      <c r="C491" s="69"/>
      <c r="D491" s="64" t="str">
        <f t="shared" si="65"/>
        <v/>
      </c>
      <c r="E491" s="102"/>
      <c r="F491" s="64" t="str">
        <f t="shared" si="68"/>
        <v/>
      </c>
      <c r="G491" s="64" t="str">
        <f t="shared" si="66"/>
        <v/>
      </c>
      <c r="H491" s="101"/>
      <c r="I491" s="101"/>
      <c r="J491" s="101"/>
      <c r="K491" s="112"/>
      <c r="L491" s="111"/>
      <c r="M491" s="111"/>
      <c r="N491" s="112"/>
      <c r="O491" s="112"/>
      <c r="P491" s="68"/>
      <c r="R491" t="str">
        <f t="shared" si="61"/>
        <v/>
      </c>
      <c r="S491" t="str">
        <f t="shared" si="62"/>
        <v/>
      </c>
      <c r="T491" t="str">
        <f t="shared" si="63"/>
        <v/>
      </c>
      <c r="AD491" t="s">
        <v>2373</v>
      </c>
      <c r="AE491" t="s">
        <v>2374</v>
      </c>
      <c r="AF491" t="str">
        <f t="shared" si="67"/>
        <v>A679078</v>
      </c>
      <c r="AG491" t="str">
        <f>VLOOKUP(AF491,AKT!$C$4:$E$324,3,FALSE)</f>
        <v>0942</v>
      </c>
    </row>
    <row r="492" spans="1:33">
      <c r="A492" s="69"/>
      <c r="B492" s="64" t="str">
        <f t="shared" si="64"/>
        <v/>
      </c>
      <c r="C492" s="69"/>
      <c r="D492" s="64" t="str">
        <f t="shared" si="65"/>
        <v/>
      </c>
      <c r="E492" s="102"/>
      <c r="F492" s="64" t="str">
        <f t="shared" si="68"/>
        <v/>
      </c>
      <c r="G492" s="64" t="str">
        <f t="shared" si="66"/>
        <v/>
      </c>
      <c r="H492" s="101"/>
      <c r="I492" s="101"/>
      <c r="J492" s="101"/>
      <c r="K492" s="112"/>
      <c r="L492" s="111"/>
      <c r="M492" s="111"/>
      <c r="N492" s="112"/>
      <c r="O492" s="112"/>
      <c r="P492" s="68"/>
      <c r="R492" t="str">
        <f t="shared" si="61"/>
        <v/>
      </c>
      <c r="S492" t="str">
        <f t="shared" si="62"/>
        <v/>
      </c>
      <c r="T492" t="str">
        <f t="shared" si="63"/>
        <v/>
      </c>
      <c r="AD492" t="s">
        <v>2375</v>
      </c>
      <c r="AE492" t="s">
        <v>2376</v>
      </c>
      <c r="AF492" t="str">
        <f t="shared" si="67"/>
        <v>A679078</v>
      </c>
      <c r="AG492" t="str">
        <f>VLOOKUP(AF492,AKT!$C$4:$E$324,3,FALSE)</f>
        <v>0942</v>
      </c>
    </row>
    <row r="493" spans="1:33">
      <c r="A493" s="69"/>
      <c r="B493" s="64" t="str">
        <f t="shared" si="64"/>
        <v/>
      </c>
      <c r="C493" s="69"/>
      <c r="D493" s="64" t="str">
        <f t="shared" si="65"/>
        <v/>
      </c>
      <c r="E493" s="102"/>
      <c r="F493" s="64" t="str">
        <f t="shared" si="68"/>
        <v/>
      </c>
      <c r="G493" s="64" t="str">
        <f t="shared" si="66"/>
        <v/>
      </c>
      <c r="H493" s="101"/>
      <c r="I493" s="101"/>
      <c r="J493" s="101"/>
      <c r="K493" s="112"/>
      <c r="L493" s="111"/>
      <c r="M493" s="111"/>
      <c r="N493" s="112"/>
      <c r="O493" s="112"/>
      <c r="P493" s="68"/>
      <c r="R493" t="str">
        <f t="shared" si="61"/>
        <v/>
      </c>
      <c r="S493" t="str">
        <f t="shared" si="62"/>
        <v/>
      </c>
      <c r="T493" t="str">
        <f t="shared" si="63"/>
        <v/>
      </c>
      <c r="AD493" t="s">
        <v>2377</v>
      </c>
      <c r="AE493" t="s">
        <v>2378</v>
      </c>
      <c r="AF493" t="str">
        <f t="shared" si="67"/>
        <v>A679078</v>
      </c>
      <c r="AG493" t="str">
        <f>VLOOKUP(AF493,AKT!$C$4:$E$324,3,FALSE)</f>
        <v>0942</v>
      </c>
    </row>
    <row r="494" spans="1:33">
      <c r="A494" s="69"/>
      <c r="B494" s="64" t="str">
        <f t="shared" si="64"/>
        <v/>
      </c>
      <c r="C494" s="69"/>
      <c r="D494" s="64" t="str">
        <f t="shared" si="65"/>
        <v/>
      </c>
      <c r="E494" s="102"/>
      <c r="F494" s="64" t="str">
        <f t="shared" si="68"/>
        <v/>
      </c>
      <c r="G494" s="64" t="str">
        <f t="shared" si="66"/>
        <v/>
      </c>
      <c r="H494" s="101"/>
      <c r="I494" s="101"/>
      <c r="J494" s="101"/>
      <c r="K494" s="112"/>
      <c r="L494" s="111"/>
      <c r="M494" s="111"/>
      <c r="N494" s="112"/>
      <c r="O494" s="112"/>
      <c r="P494" s="68"/>
      <c r="R494" t="str">
        <f t="shared" si="61"/>
        <v/>
      </c>
      <c r="S494" t="str">
        <f t="shared" si="62"/>
        <v/>
      </c>
      <c r="T494" t="str">
        <f t="shared" si="63"/>
        <v/>
      </c>
      <c r="AD494" t="s">
        <v>2379</v>
      </c>
      <c r="AE494" t="s">
        <v>2380</v>
      </c>
      <c r="AF494" t="str">
        <f t="shared" si="67"/>
        <v>A679078</v>
      </c>
      <c r="AG494" t="str">
        <f>VLOOKUP(AF494,AKT!$C$4:$E$324,3,FALSE)</f>
        <v>0942</v>
      </c>
    </row>
    <row r="495" spans="1:33">
      <c r="A495" s="69"/>
      <c r="B495" s="64" t="str">
        <f t="shared" si="64"/>
        <v/>
      </c>
      <c r="C495" s="69"/>
      <c r="D495" s="64" t="str">
        <f t="shared" si="65"/>
        <v/>
      </c>
      <c r="E495" s="102"/>
      <c r="F495" s="64" t="str">
        <f t="shared" si="68"/>
        <v/>
      </c>
      <c r="G495" s="64" t="str">
        <f t="shared" si="66"/>
        <v/>
      </c>
      <c r="H495" s="101"/>
      <c r="I495" s="101"/>
      <c r="J495" s="101"/>
      <c r="K495" s="112"/>
      <c r="L495" s="111"/>
      <c r="M495" s="111"/>
      <c r="N495" s="112"/>
      <c r="O495" s="112"/>
      <c r="P495" s="68"/>
      <c r="R495" t="str">
        <f t="shared" si="61"/>
        <v/>
      </c>
      <c r="S495" t="str">
        <f t="shared" si="62"/>
        <v/>
      </c>
      <c r="T495" t="str">
        <f t="shared" si="63"/>
        <v/>
      </c>
      <c r="AD495" t="s">
        <v>2381</v>
      </c>
      <c r="AE495" t="s">
        <v>2382</v>
      </c>
      <c r="AF495" t="str">
        <f t="shared" si="67"/>
        <v>A679078</v>
      </c>
      <c r="AG495" t="str">
        <f>VLOOKUP(AF495,AKT!$C$4:$E$324,3,FALSE)</f>
        <v>0942</v>
      </c>
    </row>
    <row r="496" spans="1:33">
      <c r="A496" s="69"/>
      <c r="B496" s="64" t="str">
        <f t="shared" si="64"/>
        <v/>
      </c>
      <c r="C496" s="69"/>
      <c r="D496" s="64" t="str">
        <f t="shared" si="65"/>
        <v/>
      </c>
      <c r="E496" s="102"/>
      <c r="F496" s="64" t="str">
        <f t="shared" si="68"/>
        <v/>
      </c>
      <c r="G496" s="64" t="str">
        <f t="shared" si="66"/>
        <v/>
      </c>
      <c r="H496" s="101"/>
      <c r="I496" s="101"/>
      <c r="J496" s="101"/>
      <c r="K496" s="112"/>
      <c r="L496" s="111"/>
      <c r="M496" s="111"/>
      <c r="N496" s="112"/>
      <c r="O496" s="112"/>
      <c r="P496" s="68"/>
      <c r="R496" t="str">
        <f t="shared" si="61"/>
        <v/>
      </c>
      <c r="S496" t="str">
        <f t="shared" si="62"/>
        <v/>
      </c>
      <c r="T496" t="str">
        <f t="shared" si="63"/>
        <v/>
      </c>
      <c r="AD496" t="s">
        <v>2383</v>
      </c>
      <c r="AE496" t="s">
        <v>2384</v>
      </c>
      <c r="AF496" t="str">
        <f t="shared" si="67"/>
        <v>A679078</v>
      </c>
      <c r="AG496" t="str">
        <f>VLOOKUP(AF496,AKT!$C$4:$E$324,3,FALSE)</f>
        <v>0942</v>
      </c>
    </row>
    <row r="497" spans="30:33" ht="15.75" customHeight="1">
      <c r="AD497" t="s">
        <v>2385</v>
      </c>
      <c r="AE497" t="s">
        <v>2386</v>
      </c>
      <c r="AF497" t="str">
        <f t="shared" si="67"/>
        <v>A679078</v>
      </c>
      <c r="AG497" t="str">
        <f>VLOOKUP(AF497,AKT!$C$4:$E$324,3,FALSE)</f>
        <v>0942</v>
      </c>
    </row>
    <row r="498" spans="30:33">
      <c r="AD498" t="s">
        <v>2387</v>
      </c>
      <c r="AE498" t="s">
        <v>2388</v>
      </c>
      <c r="AF498" t="str">
        <f t="shared" si="67"/>
        <v>A679078</v>
      </c>
      <c r="AG498" t="str">
        <f>VLOOKUP(AF498,AKT!$C$4:$E$324,3,FALSE)</f>
        <v>0942</v>
      </c>
    </row>
    <row r="499" spans="30:33">
      <c r="AD499" t="s">
        <v>2389</v>
      </c>
      <c r="AE499" t="s">
        <v>2390</v>
      </c>
      <c r="AF499" t="str">
        <f t="shared" si="67"/>
        <v>A679078</v>
      </c>
      <c r="AG499" t="str">
        <f>VLOOKUP(AF499,AKT!$C$4:$E$324,3,FALSE)</f>
        <v>0942</v>
      </c>
    </row>
    <row r="500" spans="30:33">
      <c r="AD500" t="s">
        <v>2391</v>
      </c>
      <c r="AE500" t="s">
        <v>2392</v>
      </c>
      <c r="AF500" t="str">
        <f t="shared" si="67"/>
        <v>A679078</v>
      </c>
      <c r="AG500" t="str">
        <f>VLOOKUP(AF500,AKT!$C$4:$E$324,3,FALSE)</f>
        <v>0942</v>
      </c>
    </row>
    <row r="501" spans="30:33">
      <c r="AD501" t="s">
        <v>2393</v>
      </c>
      <c r="AE501" t="s">
        <v>2394</v>
      </c>
      <c r="AF501" t="str">
        <f t="shared" si="67"/>
        <v>A679078</v>
      </c>
      <c r="AG501" t="str">
        <f>VLOOKUP(AF501,AKT!$C$4:$E$324,3,FALSE)</f>
        <v>0942</v>
      </c>
    </row>
    <row r="502" spans="30:33">
      <c r="AD502" t="s">
        <v>2395</v>
      </c>
      <c r="AE502" t="s">
        <v>2396</v>
      </c>
      <c r="AF502" t="str">
        <f t="shared" si="67"/>
        <v>A679078</v>
      </c>
      <c r="AG502" t="str">
        <f>VLOOKUP(AF502,AKT!$C$4:$E$324,3,FALSE)</f>
        <v>0942</v>
      </c>
    </row>
    <row r="503" spans="30:33">
      <c r="AD503" t="s">
        <v>2397</v>
      </c>
      <c r="AE503" t="s">
        <v>2398</v>
      </c>
      <c r="AF503" t="str">
        <f t="shared" si="67"/>
        <v>A679078</v>
      </c>
      <c r="AG503" t="str">
        <f>VLOOKUP(AF503,AKT!$C$4:$E$324,3,FALSE)</f>
        <v>0942</v>
      </c>
    </row>
    <row r="504" spans="30:33">
      <c r="AD504" t="s">
        <v>2399</v>
      </c>
      <c r="AE504" t="s">
        <v>2400</v>
      </c>
      <c r="AF504" t="str">
        <f t="shared" si="67"/>
        <v>A679078</v>
      </c>
      <c r="AG504" t="str">
        <f>VLOOKUP(AF504,AKT!$C$4:$E$324,3,FALSE)</f>
        <v>0942</v>
      </c>
    </row>
    <row r="505" spans="30:33">
      <c r="AD505" t="s">
        <v>2401</v>
      </c>
      <c r="AE505" t="s">
        <v>2402</v>
      </c>
      <c r="AF505" t="str">
        <f t="shared" si="67"/>
        <v>A679078</v>
      </c>
      <c r="AG505" t="str">
        <f>VLOOKUP(AF505,AKT!$C$4:$E$324,3,FALSE)</f>
        <v>0942</v>
      </c>
    </row>
    <row r="506" spans="30:33">
      <c r="AD506" t="s">
        <v>2403</v>
      </c>
      <c r="AE506" t="s">
        <v>2404</v>
      </c>
      <c r="AF506" t="str">
        <f t="shared" si="67"/>
        <v>A679078</v>
      </c>
      <c r="AG506" t="str">
        <f>VLOOKUP(AF506,AKT!$C$4:$E$324,3,FALSE)</f>
        <v>0942</v>
      </c>
    </row>
    <row r="507" spans="30:33">
      <c r="AD507" t="s">
        <v>2405</v>
      </c>
      <c r="AE507" t="s">
        <v>2406</v>
      </c>
      <c r="AF507" t="str">
        <f t="shared" si="67"/>
        <v>A679078</v>
      </c>
      <c r="AG507" t="str">
        <f>VLOOKUP(AF507,AKT!$C$4:$E$324,3,FALSE)</f>
        <v>0942</v>
      </c>
    </row>
    <row r="508" spans="30:33">
      <c r="AD508" t="s">
        <v>2407</v>
      </c>
      <c r="AE508" t="s">
        <v>2408</v>
      </c>
      <c r="AF508" t="str">
        <f t="shared" si="67"/>
        <v>A679078</v>
      </c>
      <c r="AG508" t="str">
        <f>VLOOKUP(AF508,AKT!$C$4:$E$324,3,FALSE)</f>
        <v>0942</v>
      </c>
    </row>
    <row r="509" spans="30:33">
      <c r="AD509" t="s">
        <v>2409</v>
      </c>
      <c r="AE509" t="s">
        <v>2410</v>
      </c>
      <c r="AF509" t="str">
        <f t="shared" si="67"/>
        <v>A679078</v>
      </c>
      <c r="AG509" t="str">
        <f>VLOOKUP(AF509,AKT!$C$4:$E$324,3,FALSE)</f>
        <v>0942</v>
      </c>
    </row>
    <row r="510" spans="30:33">
      <c r="AD510" t="s">
        <v>2411</v>
      </c>
      <c r="AE510" t="s">
        <v>2412</v>
      </c>
      <c r="AF510" t="str">
        <f t="shared" si="67"/>
        <v>A679078</v>
      </c>
      <c r="AG510" t="str">
        <f>VLOOKUP(AF510,AKT!$C$4:$E$324,3,FALSE)</f>
        <v>0942</v>
      </c>
    </row>
    <row r="511" spans="30:33">
      <c r="AD511" t="s">
        <v>2413</v>
      </c>
      <c r="AE511" t="s">
        <v>2414</v>
      </c>
      <c r="AF511" t="str">
        <f t="shared" si="67"/>
        <v>A679078</v>
      </c>
      <c r="AG511" t="str">
        <f>VLOOKUP(AF511,AKT!$C$4:$E$324,3,FALSE)</f>
        <v>0942</v>
      </c>
    </row>
    <row r="512" spans="30:33">
      <c r="AD512" t="s">
        <v>2415</v>
      </c>
      <c r="AE512" t="s">
        <v>2416</v>
      </c>
      <c r="AF512" t="str">
        <f t="shared" si="67"/>
        <v>A679078</v>
      </c>
      <c r="AG512" t="str">
        <f>VLOOKUP(AF512,AKT!$C$4:$E$324,3,FALSE)</f>
        <v>0942</v>
      </c>
    </row>
    <row r="513" spans="30:33">
      <c r="AD513" t="s">
        <v>2417</v>
      </c>
      <c r="AE513" t="s">
        <v>2418</v>
      </c>
      <c r="AF513" t="str">
        <f t="shared" si="67"/>
        <v>A679078</v>
      </c>
      <c r="AG513" t="str">
        <f>VLOOKUP(AF513,AKT!$C$4:$E$324,3,FALSE)</f>
        <v>0942</v>
      </c>
    </row>
    <row r="514" spans="30:33">
      <c r="AD514" t="s">
        <v>1398</v>
      </c>
      <c r="AE514" t="s">
        <v>2419</v>
      </c>
      <c r="AF514" t="str">
        <f t="shared" si="67"/>
        <v>A679078</v>
      </c>
      <c r="AG514" t="str">
        <f>VLOOKUP(AF514,AKT!$C$4:$E$324,3,FALSE)</f>
        <v>0942</v>
      </c>
    </row>
    <row r="515" spans="30:33">
      <c r="AD515" t="s">
        <v>2420</v>
      </c>
      <c r="AE515" t="s">
        <v>2421</v>
      </c>
      <c r="AF515" t="str">
        <f t="shared" ref="AF515:AF578" si="69">LEFT(AD515,7)</f>
        <v>A679078</v>
      </c>
      <c r="AG515" t="str">
        <f>VLOOKUP(AF515,AKT!$C$4:$E$324,3,FALSE)</f>
        <v>0942</v>
      </c>
    </row>
    <row r="516" spans="30:33">
      <c r="AD516" t="s">
        <v>2422</v>
      </c>
      <c r="AE516" t="s">
        <v>2423</v>
      </c>
      <c r="AF516" t="str">
        <f t="shared" si="69"/>
        <v>A679078</v>
      </c>
      <c r="AG516" t="str">
        <f>VLOOKUP(AF516,AKT!$C$4:$E$324,3,FALSE)</f>
        <v>0942</v>
      </c>
    </row>
    <row r="517" spans="30:33">
      <c r="AD517" t="s">
        <v>2424</v>
      </c>
      <c r="AE517" t="s">
        <v>2425</v>
      </c>
      <c r="AF517" t="str">
        <f t="shared" si="69"/>
        <v>A679078</v>
      </c>
      <c r="AG517" t="str">
        <f>VLOOKUP(AF517,AKT!$C$4:$E$324,3,FALSE)</f>
        <v>0942</v>
      </c>
    </row>
    <row r="518" spans="30:33">
      <c r="AD518" t="s">
        <v>1404</v>
      </c>
      <c r="AE518" t="s">
        <v>2426</v>
      </c>
      <c r="AF518" t="str">
        <f t="shared" si="69"/>
        <v>A679078</v>
      </c>
      <c r="AG518" t="str">
        <f>VLOOKUP(AF518,AKT!$C$4:$E$324,3,FALSE)</f>
        <v>0942</v>
      </c>
    </row>
    <row r="519" spans="30:33">
      <c r="AD519" t="s">
        <v>2427</v>
      </c>
      <c r="AE519" t="s">
        <v>2428</v>
      </c>
      <c r="AF519" t="str">
        <f t="shared" si="69"/>
        <v>A679078</v>
      </c>
      <c r="AG519" t="str">
        <f>VLOOKUP(AF519,AKT!$C$4:$E$324,3,FALSE)</f>
        <v>0942</v>
      </c>
    </row>
    <row r="520" spans="30:33">
      <c r="AD520" t="s">
        <v>2429</v>
      </c>
      <c r="AE520" t="s">
        <v>2430</v>
      </c>
      <c r="AF520" t="str">
        <f t="shared" si="69"/>
        <v>A679078</v>
      </c>
      <c r="AG520" t="str">
        <f>VLOOKUP(AF520,AKT!$C$4:$E$324,3,FALSE)</f>
        <v>0942</v>
      </c>
    </row>
    <row r="521" spans="30:33">
      <c r="AD521" t="s">
        <v>2431</v>
      </c>
      <c r="AE521" t="s">
        <v>2432</v>
      </c>
      <c r="AF521" t="str">
        <f t="shared" si="69"/>
        <v>A679078</v>
      </c>
      <c r="AG521" t="str">
        <f>VLOOKUP(AF521,AKT!$C$4:$E$324,3,FALSE)</f>
        <v>0942</v>
      </c>
    </row>
    <row r="522" spans="30:33">
      <c r="AD522" t="s">
        <v>2433</v>
      </c>
      <c r="AE522" t="s">
        <v>2434</v>
      </c>
      <c r="AF522" t="str">
        <f t="shared" si="69"/>
        <v>A679078</v>
      </c>
      <c r="AG522" t="str">
        <f>VLOOKUP(AF522,AKT!$C$4:$E$324,3,FALSE)</f>
        <v>0942</v>
      </c>
    </row>
    <row r="523" spans="30:33">
      <c r="AD523" t="s">
        <v>2435</v>
      </c>
      <c r="AE523" t="s">
        <v>2436</v>
      </c>
      <c r="AF523" t="str">
        <f t="shared" si="69"/>
        <v>A679078</v>
      </c>
      <c r="AG523" t="str">
        <f>VLOOKUP(AF523,AKT!$C$4:$E$324,3,FALSE)</f>
        <v>0942</v>
      </c>
    </row>
    <row r="524" spans="30:33">
      <c r="AD524" t="s">
        <v>2437</v>
      </c>
      <c r="AE524" t="s">
        <v>2438</v>
      </c>
      <c r="AF524" t="str">
        <f t="shared" si="69"/>
        <v>A679078</v>
      </c>
      <c r="AG524" t="str">
        <f>VLOOKUP(AF524,AKT!$C$4:$E$324,3,FALSE)</f>
        <v>0942</v>
      </c>
    </row>
    <row r="525" spans="30:33">
      <c r="AD525" t="s">
        <v>2439</v>
      </c>
      <c r="AE525" t="s">
        <v>2440</v>
      </c>
      <c r="AF525" t="str">
        <f t="shared" si="69"/>
        <v>A679078</v>
      </c>
      <c r="AG525" t="str">
        <f>VLOOKUP(AF525,AKT!$C$4:$E$324,3,FALSE)</f>
        <v>0942</v>
      </c>
    </row>
    <row r="526" spans="30:33">
      <c r="AD526" t="s">
        <v>2441</v>
      </c>
      <c r="AE526" t="s">
        <v>2442</v>
      </c>
      <c r="AF526" t="str">
        <f t="shared" si="69"/>
        <v>A679078</v>
      </c>
      <c r="AG526" t="str">
        <f>VLOOKUP(AF526,AKT!$C$4:$E$324,3,FALSE)</f>
        <v>0942</v>
      </c>
    </row>
    <row r="527" spans="30:33">
      <c r="AD527" t="s">
        <v>2443</v>
      </c>
      <c r="AE527" t="s">
        <v>2444</v>
      </c>
      <c r="AF527" t="str">
        <f t="shared" si="69"/>
        <v>A679078</v>
      </c>
      <c r="AG527" t="str">
        <f>VLOOKUP(AF527,AKT!$C$4:$E$324,3,FALSE)</f>
        <v>0942</v>
      </c>
    </row>
    <row r="528" spans="30:33">
      <c r="AD528" t="s">
        <v>2445</v>
      </c>
      <c r="AE528" t="s">
        <v>2446</v>
      </c>
      <c r="AF528" t="str">
        <f t="shared" si="69"/>
        <v>A679078</v>
      </c>
      <c r="AG528" t="str">
        <f>VLOOKUP(AF528,AKT!$C$4:$E$324,3,FALSE)</f>
        <v>0942</v>
      </c>
    </row>
    <row r="529" spans="30:33">
      <c r="AD529" t="s">
        <v>2447</v>
      </c>
      <c r="AE529" t="s">
        <v>2448</v>
      </c>
      <c r="AF529" t="str">
        <f t="shared" si="69"/>
        <v>A679078</v>
      </c>
      <c r="AG529" t="str">
        <f>VLOOKUP(AF529,AKT!$C$4:$E$324,3,FALSE)</f>
        <v>0942</v>
      </c>
    </row>
    <row r="530" spans="30:33">
      <c r="AD530" t="s">
        <v>2449</v>
      </c>
      <c r="AE530" t="s">
        <v>2450</v>
      </c>
      <c r="AF530" t="str">
        <f t="shared" si="69"/>
        <v>A679078</v>
      </c>
      <c r="AG530" t="str">
        <f>VLOOKUP(AF530,AKT!$C$4:$E$324,3,FALSE)</f>
        <v>0942</v>
      </c>
    </row>
    <row r="531" spans="30:33">
      <c r="AD531" t="s">
        <v>2451</v>
      </c>
      <c r="AE531" t="s">
        <v>2452</v>
      </c>
      <c r="AF531" t="str">
        <f t="shared" si="69"/>
        <v>A679078</v>
      </c>
      <c r="AG531" t="str">
        <f>VLOOKUP(AF531,AKT!$C$4:$E$324,3,FALSE)</f>
        <v>0942</v>
      </c>
    </row>
    <row r="532" spans="30:33">
      <c r="AD532" t="s">
        <v>2453</v>
      </c>
      <c r="AE532" t="s">
        <v>2454</v>
      </c>
      <c r="AF532" t="str">
        <f t="shared" si="69"/>
        <v>A679078</v>
      </c>
      <c r="AG532" t="str">
        <f>VLOOKUP(AF532,AKT!$C$4:$E$324,3,FALSE)</f>
        <v>0942</v>
      </c>
    </row>
    <row r="533" spans="30:33">
      <c r="AD533" t="s">
        <v>2455</v>
      </c>
      <c r="AE533" t="s">
        <v>2456</v>
      </c>
      <c r="AF533" t="str">
        <f t="shared" si="69"/>
        <v>A679078</v>
      </c>
      <c r="AG533" t="str">
        <f>VLOOKUP(AF533,AKT!$C$4:$E$324,3,FALSE)</f>
        <v>0942</v>
      </c>
    </row>
    <row r="534" spans="30:33">
      <c r="AD534" t="s">
        <v>2457</v>
      </c>
      <c r="AE534" t="s">
        <v>2458</v>
      </c>
      <c r="AF534" t="str">
        <f t="shared" si="69"/>
        <v>A679078</v>
      </c>
      <c r="AG534" t="str">
        <f>VLOOKUP(AF534,AKT!$C$4:$E$324,3,FALSE)</f>
        <v>0942</v>
      </c>
    </row>
    <row r="535" spans="30:33">
      <c r="AD535" t="s">
        <v>2459</v>
      </c>
      <c r="AE535" t="s">
        <v>2460</v>
      </c>
      <c r="AF535" t="str">
        <f t="shared" si="69"/>
        <v>A679078</v>
      </c>
      <c r="AG535" t="str">
        <f>VLOOKUP(AF535,AKT!$C$4:$E$324,3,FALSE)</f>
        <v>0942</v>
      </c>
    </row>
    <row r="536" spans="30:33">
      <c r="AD536" t="s">
        <v>2461</v>
      </c>
      <c r="AE536" t="s">
        <v>2462</v>
      </c>
      <c r="AF536" t="str">
        <f t="shared" si="69"/>
        <v>A679078</v>
      </c>
      <c r="AG536" t="str">
        <f>VLOOKUP(AF536,AKT!$C$4:$E$324,3,FALSE)</f>
        <v>0942</v>
      </c>
    </row>
    <row r="537" spans="30:33">
      <c r="AD537" t="s">
        <v>2463</v>
      </c>
      <c r="AE537" t="s">
        <v>2464</v>
      </c>
      <c r="AF537" t="str">
        <f t="shared" si="69"/>
        <v>A679078</v>
      </c>
      <c r="AG537" t="str">
        <f>VLOOKUP(AF537,AKT!$C$4:$E$324,3,FALSE)</f>
        <v>0942</v>
      </c>
    </row>
    <row r="538" spans="30:33">
      <c r="AD538" t="s">
        <v>2465</v>
      </c>
      <c r="AE538" t="s">
        <v>2466</v>
      </c>
      <c r="AF538" t="str">
        <f t="shared" si="69"/>
        <v>A679078</v>
      </c>
      <c r="AG538" t="str">
        <f>VLOOKUP(AF538,AKT!$C$4:$E$324,3,FALSE)</f>
        <v>0942</v>
      </c>
    </row>
    <row r="539" spans="30:33">
      <c r="AD539" t="s">
        <v>2467</v>
      </c>
      <c r="AE539" t="s">
        <v>2468</v>
      </c>
      <c r="AF539" t="str">
        <f t="shared" si="69"/>
        <v>A679078</v>
      </c>
      <c r="AG539" t="str">
        <f>VLOOKUP(AF539,AKT!$C$4:$E$324,3,FALSE)</f>
        <v>0942</v>
      </c>
    </row>
    <row r="540" spans="30:33">
      <c r="AD540" t="s">
        <v>2469</v>
      </c>
      <c r="AE540" t="s">
        <v>2470</v>
      </c>
      <c r="AF540" t="str">
        <f t="shared" si="69"/>
        <v>A679078</v>
      </c>
      <c r="AG540" t="str">
        <f>VLOOKUP(AF540,AKT!$C$4:$E$324,3,FALSE)</f>
        <v>0942</v>
      </c>
    </row>
    <row r="541" spans="30:33">
      <c r="AD541" t="s">
        <v>2471</v>
      </c>
      <c r="AE541" t="s">
        <v>2472</v>
      </c>
      <c r="AF541" t="str">
        <f t="shared" si="69"/>
        <v>A679078</v>
      </c>
      <c r="AG541" t="str">
        <f>VLOOKUP(AF541,AKT!$C$4:$E$324,3,FALSE)</f>
        <v>0942</v>
      </c>
    </row>
    <row r="542" spans="30:33">
      <c r="AD542" t="s">
        <v>2473</v>
      </c>
      <c r="AE542" t="s">
        <v>2474</v>
      </c>
      <c r="AF542" t="str">
        <f t="shared" si="69"/>
        <v>A679078</v>
      </c>
      <c r="AG542" t="str">
        <f>VLOOKUP(AF542,AKT!$C$4:$E$324,3,FALSE)</f>
        <v>0942</v>
      </c>
    </row>
    <row r="543" spans="30:33">
      <c r="AD543" t="s">
        <v>2475</v>
      </c>
      <c r="AE543" t="s">
        <v>2476</v>
      </c>
      <c r="AF543" t="str">
        <f t="shared" si="69"/>
        <v>A679078</v>
      </c>
      <c r="AG543" t="str">
        <f>VLOOKUP(AF543,AKT!$C$4:$E$324,3,FALSE)</f>
        <v>0942</v>
      </c>
    </row>
    <row r="544" spans="30:33">
      <c r="AD544" t="s">
        <v>2477</v>
      </c>
      <c r="AE544" t="s">
        <v>2478</v>
      </c>
      <c r="AF544" t="str">
        <f t="shared" si="69"/>
        <v>A679078</v>
      </c>
      <c r="AG544" t="str">
        <f>VLOOKUP(AF544,AKT!$C$4:$E$324,3,FALSE)</f>
        <v>0942</v>
      </c>
    </row>
    <row r="545" spans="30:33">
      <c r="AD545" t="s">
        <v>2479</v>
      </c>
      <c r="AE545" t="s">
        <v>2480</v>
      </c>
      <c r="AF545" t="str">
        <f t="shared" si="69"/>
        <v>A679078</v>
      </c>
      <c r="AG545" t="str">
        <f>VLOOKUP(AF545,AKT!$C$4:$E$324,3,FALSE)</f>
        <v>0942</v>
      </c>
    </row>
    <row r="546" spans="30:33">
      <c r="AD546" t="s">
        <v>2481</v>
      </c>
      <c r="AE546" t="s">
        <v>2482</v>
      </c>
      <c r="AF546" t="str">
        <f t="shared" si="69"/>
        <v>A679078</v>
      </c>
      <c r="AG546" t="str">
        <f>VLOOKUP(AF546,AKT!$C$4:$E$324,3,FALSE)</f>
        <v>0942</v>
      </c>
    </row>
    <row r="547" spans="30:33">
      <c r="AD547" t="s">
        <v>2483</v>
      </c>
      <c r="AE547" t="s">
        <v>2278</v>
      </c>
      <c r="AF547" t="str">
        <f t="shared" si="69"/>
        <v>A679078</v>
      </c>
      <c r="AG547" t="str">
        <f>VLOOKUP(AF547,AKT!$C$4:$E$324,3,FALSE)</f>
        <v>0942</v>
      </c>
    </row>
    <row r="548" spans="30:33">
      <c r="AD548" t="s">
        <v>2484</v>
      </c>
      <c r="AE548" t="s">
        <v>2485</v>
      </c>
      <c r="AF548" t="str">
        <f t="shared" si="69"/>
        <v>A679078</v>
      </c>
      <c r="AG548" t="str">
        <f>VLOOKUP(AF548,AKT!$C$4:$E$324,3,FALSE)</f>
        <v>0942</v>
      </c>
    </row>
    <row r="549" spans="30:33">
      <c r="AD549" t="s">
        <v>2486</v>
      </c>
      <c r="AE549" t="s">
        <v>2487</v>
      </c>
      <c r="AF549" t="str">
        <f t="shared" si="69"/>
        <v>A679078</v>
      </c>
      <c r="AG549" t="str">
        <f>VLOOKUP(AF549,AKT!$C$4:$E$324,3,FALSE)</f>
        <v>0942</v>
      </c>
    </row>
    <row r="550" spans="30:33">
      <c r="AD550" t="s">
        <v>2488</v>
      </c>
      <c r="AE550" t="s">
        <v>2489</v>
      </c>
      <c r="AF550" t="str">
        <f t="shared" si="69"/>
        <v>A679078</v>
      </c>
      <c r="AG550" t="str">
        <f>VLOOKUP(AF550,AKT!$C$4:$E$324,3,FALSE)</f>
        <v>0942</v>
      </c>
    </row>
    <row r="551" spans="30:33">
      <c r="AD551" t="s">
        <v>2490</v>
      </c>
      <c r="AE551" t="s">
        <v>2491</v>
      </c>
      <c r="AF551" t="str">
        <f t="shared" si="69"/>
        <v>A679078</v>
      </c>
      <c r="AG551" t="str">
        <f>VLOOKUP(AF551,AKT!$C$4:$E$324,3,FALSE)</f>
        <v>0942</v>
      </c>
    </row>
    <row r="552" spans="30:33">
      <c r="AD552" t="s">
        <v>2492</v>
      </c>
      <c r="AE552" t="s">
        <v>2493</v>
      </c>
      <c r="AF552" t="str">
        <f t="shared" si="69"/>
        <v>A679078</v>
      </c>
      <c r="AG552" t="str">
        <f>VLOOKUP(AF552,AKT!$C$4:$E$324,3,FALSE)</f>
        <v>0942</v>
      </c>
    </row>
    <row r="553" spans="30:33">
      <c r="AD553" t="s">
        <v>2494</v>
      </c>
      <c r="AE553" t="s">
        <v>2495</v>
      </c>
      <c r="AF553" t="str">
        <f t="shared" si="69"/>
        <v>A679078</v>
      </c>
      <c r="AG553" t="str">
        <f>VLOOKUP(AF553,AKT!$C$4:$E$324,3,FALSE)</f>
        <v>0942</v>
      </c>
    </row>
    <row r="554" spans="30:33">
      <c r="AD554" t="s">
        <v>2496</v>
      </c>
      <c r="AE554" t="s">
        <v>2497</v>
      </c>
      <c r="AF554" t="str">
        <f t="shared" si="69"/>
        <v>A679078</v>
      </c>
      <c r="AG554" t="str">
        <f>VLOOKUP(AF554,AKT!$C$4:$E$324,3,FALSE)</f>
        <v>0942</v>
      </c>
    </row>
    <row r="555" spans="30:33">
      <c r="AD555" t="s">
        <v>2498</v>
      </c>
      <c r="AE555" t="s">
        <v>2499</v>
      </c>
      <c r="AF555" t="str">
        <f t="shared" si="69"/>
        <v>A679078</v>
      </c>
      <c r="AG555" t="str">
        <f>VLOOKUP(AF555,AKT!$C$4:$E$324,3,FALSE)</f>
        <v>0942</v>
      </c>
    </row>
    <row r="556" spans="30:33">
      <c r="AD556" t="s">
        <v>2500</v>
      </c>
      <c r="AE556" t="s">
        <v>2501</v>
      </c>
      <c r="AF556" t="str">
        <f t="shared" si="69"/>
        <v>A679078</v>
      </c>
      <c r="AG556" t="str">
        <f>VLOOKUP(AF556,AKT!$C$4:$E$324,3,FALSE)</f>
        <v>0942</v>
      </c>
    </row>
    <row r="557" spans="30:33">
      <c r="AD557" t="s">
        <v>2502</v>
      </c>
      <c r="AE557" t="s">
        <v>2503</v>
      </c>
      <c r="AF557" t="str">
        <f t="shared" si="69"/>
        <v>A679078</v>
      </c>
      <c r="AG557" t="str">
        <f>VLOOKUP(AF557,AKT!$C$4:$E$324,3,FALSE)</f>
        <v>0942</v>
      </c>
    </row>
    <row r="558" spans="30:33">
      <c r="AD558" t="s">
        <v>2504</v>
      </c>
      <c r="AE558" t="s">
        <v>2505</v>
      </c>
      <c r="AF558" t="str">
        <f t="shared" si="69"/>
        <v>A679078</v>
      </c>
      <c r="AG558" t="str">
        <f>VLOOKUP(AF558,AKT!$C$4:$E$324,3,FALSE)</f>
        <v>0942</v>
      </c>
    </row>
    <row r="559" spans="30:33">
      <c r="AD559" t="s">
        <v>2506</v>
      </c>
      <c r="AE559" t="s">
        <v>2507</v>
      </c>
      <c r="AF559" t="str">
        <f t="shared" si="69"/>
        <v>A679078</v>
      </c>
      <c r="AG559" t="str">
        <f>VLOOKUP(AF559,AKT!$C$4:$E$324,3,FALSE)</f>
        <v>0942</v>
      </c>
    </row>
    <row r="560" spans="30:33">
      <c r="AD560" t="s">
        <v>2508</v>
      </c>
      <c r="AE560" t="s">
        <v>2509</v>
      </c>
      <c r="AF560" t="str">
        <f t="shared" si="69"/>
        <v>A679078</v>
      </c>
      <c r="AG560" t="str">
        <f>VLOOKUP(AF560,AKT!$C$4:$E$324,3,FALSE)</f>
        <v>0942</v>
      </c>
    </row>
    <row r="561" spans="30:33">
      <c r="AD561" t="s">
        <v>2510</v>
      </c>
      <c r="AE561" t="s">
        <v>2511</v>
      </c>
      <c r="AF561" t="str">
        <f t="shared" si="69"/>
        <v>A679078</v>
      </c>
      <c r="AG561" t="str">
        <f>VLOOKUP(AF561,AKT!$C$4:$E$324,3,FALSE)</f>
        <v>0942</v>
      </c>
    </row>
    <row r="562" spans="30:33">
      <c r="AD562" t="s">
        <v>2512</v>
      </c>
      <c r="AE562" t="s">
        <v>2513</v>
      </c>
      <c r="AF562" t="str">
        <f t="shared" si="69"/>
        <v>A679078</v>
      </c>
      <c r="AG562" t="str">
        <f>VLOOKUP(AF562,AKT!$C$4:$E$324,3,FALSE)</f>
        <v>0942</v>
      </c>
    </row>
    <row r="563" spans="30:33">
      <c r="AD563" t="s">
        <v>2514</v>
      </c>
      <c r="AE563" t="s">
        <v>2515</v>
      </c>
      <c r="AF563" t="str">
        <f t="shared" si="69"/>
        <v>A679078</v>
      </c>
      <c r="AG563" t="str">
        <f>VLOOKUP(AF563,AKT!$C$4:$E$324,3,FALSE)</f>
        <v>0942</v>
      </c>
    </row>
    <row r="564" spans="30:33">
      <c r="AD564" t="s">
        <v>2516</v>
      </c>
      <c r="AE564" t="s">
        <v>2517</v>
      </c>
      <c r="AF564" t="str">
        <f t="shared" si="69"/>
        <v>A679078</v>
      </c>
      <c r="AG564" t="str">
        <f>VLOOKUP(AF564,AKT!$C$4:$E$324,3,FALSE)</f>
        <v>0942</v>
      </c>
    </row>
    <row r="565" spans="30:33">
      <c r="AD565" t="s">
        <v>2518</v>
      </c>
      <c r="AE565" t="s">
        <v>2519</v>
      </c>
      <c r="AF565" t="str">
        <f t="shared" si="69"/>
        <v>A679078</v>
      </c>
      <c r="AG565" t="str">
        <f>VLOOKUP(AF565,AKT!$C$4:$E$324,3,FALSE)</f>
        <v>0942</v>
      </c>
    </row>
    <row r="566" spans="30:33">
      <c r="AD566" t="s">
        <v>2520</v>
      </c>
      <c r="AE566" t="s">
        <v>2521</v>
      </c>
      <c r="AF566" t="str">
        <f t="shared" si="69"/>
        <v>A679078</v>
      </c>
      <c r="AG566" t="str">
        <f>VLOOKUP(AF566,AKT!$C$4:$E$324,3,FALSE)</f>
        <v>0942</v>
      </c>
    </row>
    <row r="567" spans="30:33">
      <c r="AD567" t="s">
        <v>2522</v>
      </c>
      <c r="AE567" t="s">
        <v>2523</v>
      </c>
      <c r="AF567" t="str">
        <f t="shared" si="69"/>
        <v>A679078</v>
      </c>
      <c r="AG567" t="str">
        <f>VLOOKUP(AF567,AKT!$C$4:$E$324,3,FALSE)</f>
        <v>0942</v>
      </c>
    </row>
    <row r="568" spans="30:33">
      <c r="AD568" t="s">
        <v>2524</v>
      </c>
      <c r="AE568" t="s">
        <v>2525</v>
      </c>
      <c r="AF568" t="str">
        <f t="shared" si="69"/>
        <v>A679078</v>
      </c>
      <c r="AG568" t="str">
        <f>VLOOKUP(AF568,AKT!$C$4:$E$324,3,FALSE)</f>
        <v>0942</v>
      </c>
    </row>
    <row r="569" spans="30:33">
      <c r="AD569" t="s">
        <v>2526</v>
      </c>
      <c r="AE569" t="s">
        <v>2527</v>
      </c>
      <c r="AF569" t="str">
        <f t="shared" si="69"/>
        <v>A679078</v>
      </c>
      <c r="AG569" t="str">
        <f>VLOOKUP(AF569,AKT!$C$4:$E$324,3,FALSE)</f>
        <v>0942</v>
      </c>
    </row>
    <row r="570" spans="30:33">
      <c r="AD570" t="s">
        <v>2528</v>
      </c>
      <c r="AE570" t="s">
        <v>2529</v>
      </c>
      <c r="AF570" t="str">
        <f t="shared" si="69"/>
        <v>A679078</v>
      </c>
      <c r="AG570" t="str">
        <f>VLOOKUP(AF570,AKT!$C$4:$E$324,3,FALSE)</f>
        <v>0942</v>
      </c>
    </row>
    <row r="571" spans="30:33">
      <c r="AD571" t="s">
        <v>2530</v>
      </c>
      <c r="AE571" t="s">
        <v>2531</v>
      </c>
      <c r="AF571" t="str">
        <f t="shared" si="69"/>
        <v>A679078</v>
      </c>
      <c r="AG571" t="str">
        <f>VLOOKUP(AF571,AKT!$C$4:$E$324,3,FALSE)</f>
        <v>0942</v>
      </c>
    </row>
    <row r="572" spans="30:33">
      <c r="AD572" t="s">
        <v>2532</v>
      </c>
      <c r="AE572" t="s">
        <v>2533</v>
      </c>
      <c r="AF572" t="str">
        <f t="shared" si="69"/>
        <v>A679078</v>
      </c>
      <c r="AG572" t="str">
        <f>VLOOKUP(AF572,AKT!$C$4:$E$324,3,FALSE)</f>
        <v>0942</v>
      </c>
    </row>
    <row r="573" spans="30:33">
      <c r="AD573" t="s">
        <v>2534</v>
      </c>
      <c r="AE573" t="s">
        <v>2535</v>
      </c>
      <c r="AF573" t="str">
        <f t="shared" si="69"/>
        <v>A679078</v>
      </c>
      <c r="AG573" t="str">
        <f>VLOOKUP(AF573,AKT!$C$4:$E$324,3,FALSE)</f>
        <v>0942</v>
      </c>
    </row>
    <row r="574" spans="30:33">
      <c r="AD574" t="s">
        <v>2536</v>
      </c>
      <c r="AE574" t="s">
        <v>2537</v>
      </c>
      <c r="AF574" t="str">
        <f t="shared" si="69"/>
        <v>A679078</v>
      </c>
      <c r="AG574" t="str">
        <f>VLOOKUP(AF574,AKT!$C$4:$E$324,3,FALSE)</f>
        <v>0942</v>
      </c>
    </row>
    <row r="575" spans="30:33">
      <c r="AD575" t="s">
        <v>2538</v>
      </c>
      <c r="AE575" t="s">
        <v>2539</v>
      </c>
      <c r="AF575" t="str">
        <f t="shared" si="69"/>
        <v>A679078</v>
      </c>
      <c r="AG575" t="str">
        <f>VLOOKUP(AF575,AKT!$C$4:$E$324,3,FALSE)</f>
        <v>0942</v>
      </c>
    </row>
    <row r="576" spans="30:33">
      <c r="AD576" t="s">
        <v>2540</v>
      </c>
      <c r="AE576" t="s">
        <v>2541</v>
      </c>
      <c r="AF576" t="str">
        <f t="shared" si="69"/>
        <v>A679078</v>
      </c>
      <c r="AG576" t="str">
        <f>VLOOKUP(AF576,AKT!$C$4:$E$324,3,FALSE)</f>
        <v>0942</v>
      </c>
    </row>
    <row r="577" spans="30:33">
      <c r="AD577" t="s">
        <v>2542</v>
      </c>
      <c r="AE577" t="s">
        <v>2543</v>
      </c>
      <c r="AF577" t="str">
        <f t="shared" si="69"/>
        <v>A679078</v>
      </c>
      <c r="AG577" t="str">
        <f>VLOOKUP(AF577,AKT!$C$4:$E$324,3,FALSE)</f>
        <v>0942</v>
      </c>
    </row>
    <row r="578" spans="30:33">
      <c r="AD578" t="s">
        <v>2544</v>
      </c>
      <c r="AE578" t="s">
        <v>2545</v>
      </c>
      <c r="AF578" t="str">
        <f t="shared" si="69"/>
        <v>A679078</v>
      </c>
      <c r="AG578" t="str">
        <f>VLOOKUP(AF578,AKT!$C$4:$E$324,3,FALSE)</f>
        <v>0942</v>
      </c>
    </row>
    <row r="579" spans="30:33">
      <c r="AD579" t="s">
        <v>2546</v>
      </c>
      <c r="AE579" t="s">
        <v>2547</v>
      </c>
      <c r="AF579" t="str">
        <f t="shared" ref="AF579:AF642" si="70">LEFT(AD579,7)</f>
        <v>A679078</v>
      </c>
      <c r="AG579" t="str">
        <f>VLOOKUP(AF579,AKT!$C$4:$E$324,3,FALSE)</f>
        <v>0942</v>
      </c>
    </row>
    <row r="580" spans="30:33">
      <c r="AD580" t="s">
        <v>2548</v>
      </c>
      <c r="AE580" t="s">
        <v>2549</v>
      </c>
      <c r="AF580" t="str">
        <f t="shared" si="70"/>
        <v>A679078</v>
      </c>
      <c r="AG580" t="str">
        <f>VLOOKUP(AF580,AKT!$C$4:$E$324,3,FALSE)</f>
        <v>0942</v>
      </c>
    </row>
    <row r="581" spans="30:33">
      <c r="AD581" t="s">
        <v>2550</v>
      </c>
      <c r="AE581" t="s">
        <v>2551</v>
      </c>
      <c r="AF581" t="str">
        <f t="shared" si="70"/>
        <v>A679078</v>
      </c>
      <c r="AG581" t="str">
        <f>VLOOKUP(AF581,AKT!$C$4:$E$324,3,FALSE)</f>
        <v>0942</v>
      </c>
    </row>
    <row r="582" spans="30:33">
      <c r="AD582" t="s">
        <v>2552</v>
      </c>
      <c r="AE582" t="s">
        <v>2553</v>
      </c>
      <c r="AF582" t="str">
        <f t="shared" si="70"/>
        <v>A679078</v>
      </c>
      <c r="AG582" t="str">
        <f>VLOOKUP(AF582,AKT!$C$4:$E$324,3,FALSE)</f>
        <v>0942</v>
      </c>
    </row>
    <row r="583" spans="30:33">
      <c r="AD583" t="s">
        <v>2554</v>
      </c>
      <c r="AE583" t="s">
        <v>2555</v>
      </c>
      <c r="AF583" t="str">
        <f t="shared" si="70"/>
        <v>A679078</v>
      </c>
      <c r="AG583" t="str">
        <f>VLOOKUP(AF583,AKT!$C$4:$E$324,3,FALSE)</f>
        <v>0942</v>
      </c>
    </row>
    <row r="584" spans="30:33">
      <c r="AD584" t="s">
        <v>2556</v>
      </c>
      <c r="AE584" t="s">
        <v>2557</v>
      </c>
      <c r="AF584" t="str">
        <f t="shared" si="70"/>
        <v>A679078</v>
      </c>
      <c r="AG584" t="str">
        <f>VLOOKUP(AF584,AKT!$C$4:$E$324,3,FALSE)</f>
        <v>0942</v>
      </c>
    </row>
    <row r="585" spans="30:33">
      <c r="AD585" t="s">
        <v>2558</v>
      </c>
      <c r="AE585" t="s">
        <v>2559</v>
      </c>
      <c r="AF585" t="str">
        <f t="shared" si="70"/>
        <v>A679078</v>
      </c>
      <c r="AG585" t="str">
        <f>VLOOKUP(AF585,AKT!$C$4:$E$324,3,FALSE)</f>
        <v>0942</v>
      </c>
    </row>
    <row r="586" spans="30:33">
      <c r="AD586" t="s">
        <v>2560</v>
      </c>
      <c r="AE586" t="s">
        <v>2561</v>
      </c>
      <c r="AF586" t="str">
        <f t="shared" si="70"/>
        <v>A679078</v>
      </c>
      <c r="AG586" t="str">
        <f>VLOOKUP(AF586,AKT!$C$4:$E$324,3,FALSE)</f>
        <v>0942</v>
      </c>
    </row>
    <row r="587" spans="30:33">
      <c r="AD587" t="s">
        <v>2562</v>
      </c>
      <c r="AE587" t="s">
        <v>2563</v>
      </c>
      <c r="AF587" t="str">
        <f t="shared" si="70"/>
        <v>A679078</v>
      </c>
      <c r="AG587" t="str">
        <f>VLOOKUP(AF587,AKT!$C$4:$E$324,3,FALSE)</f>
        <v>0942</v>
      </c>
    </row>
    <row r="588" spans="30:33">
      <c r="AD588" t="s">
        <v>1407</v>
      </c>
      <c r="AE588" t="s">
        <v>2564</v>
      </c>
      <c r="AF588" t="str">
        <f t="shared" si="70"/>
        <v>A679078</v>
      </c>
      <c r="AG588" t="str">
        <f>VLOOKUP(AF588,AKT!$C$4:$E$324,3,FALSE)</f>
        <v>0942</v>
      </c>
    </row>
    <row r="589" spans="30:33">
      <c r="AD589" t="s">
        <v>1410</v>
      </c>
      <c r="AE589" t="s">
        <v>2565</v>
      </c>
      <c r="AF589" t="str">
        <f t="shared" si="70"/>
        <v>A679078</v>
      </c>
      <c r="AG589" t="str">
        <f>VLOOKUP(AF589,AKT!$C$4:$E$324,3,FALSE)</f>
        <v>0942</v>
      </c>
    </row>
    <row r="590" spans="30:33">
      <c r="AD590" t="s">
        <v>1423</v>
      </c>
      <c r="AE590" t="s">
        <v>2566</v>
      </c>
      <c r="AF590" t="str">
        <f t="shared" si="70"/>
        <v>A679078</v>
      </c>
      <c r="AG590" t="str">
        <f>VLOOKUP(AF590,AKT!$C$4:$E$324,3,FALSE)</f>
        <v>0942</v>
      </c>
    </row>
    <row r="591" spans="30:33">
      <c r="AD591" t="s">
        <v>2567</v>
      </c>
      <c r="AE591" t="s">
        <v>2568</v>
      </c>
      <c r="AF591" t="str">
        <f t="shared" si="70"/>
        <v>A679078</v>
      </c>
      <c r="AG591" t="str">
        <f>VLOOKUP(AF591,AKT!$C$4:$E$324,3,FALSE)</f>
        <v>0942</v>
      </c>
    </row>
    <row r="592" spans="30:33">
      <c r="AD592" t="s">
        <v>2569</v>
      </c>
      <c r="AE592" t="s">
        <v>2570</v>
      </c>
      <c r="AF592" t="str">
        <f t="shared" si="70"/>
        <v>A679078</v>
      </c>
      <c r="AG592" t="str">
        <f>VLOOKUP(AF592,AKT!$C$4:$E$324,3,FALSE)</f>
        <v>0942</v>
      </c>
    </row>
    <row r="593" spans="30:33">
      <c r="AD593" t="s">
        <v>2571</v>
      </c>
      <c r="AE593" t="s">
        <v>2572</v>
      </c>
      <c r="AF593" t="str">
        <f t="shared" si="70"/>
        <v>A679078</v>
      </c>
      <c r="AG593" t="str">
        <f>VLOOKUP(AF593,AKT!$C$4:$E$324,3,FALSE)</f>
        <v>0942</v>
      </c>
    </row>
    <row r="594" spans="30:33">
      <c r="AD594" t="s">
        <v>2573</v>
      </c>
      <c r="AE594" t="s">
        <v>2574</v>
      </c>
      <c r="AF594" t="str">
        <f t="shared" si="70"/>
        <v>A679078</v>
      </c>
      <c r="AG594" t="str">
        <f>VLOOKUP(AF594,AKT!$C$4:$E$324,3,FALSE)</f>
        <v>0942</v>
      </c>
    </row>
    <row r="595" spans="30:33">
      <c r="AD595" t="s">
        <v>2575</v>
      </c>
      <c r="AE595" t="s">
        <v>2576</v>
      </c>
      <c r="AF595" t="str">
        <f t="shared" si="70"/>
        <v>A679078</v>
      </c>
      <c r="AG595" t="str">
        <f>VLOOKUP(AF595,AKT!$C$4:$E$324,3,FALSE)</f>
        <v>0942</v>
      </c>
    </row>
    <row r="596" spans="30:33">
      <c r="AD596" t="s">
        <v>2577</v>
      </c>
      <c r="AE596" t="s">
        <v>2578</v>
      </c>
      <c r="AF596" t="str">
        <f t="shared" si="70"/>
        <v>A679078</v>
      </c>
      <c r="AG596" t="str">
        <f>VLOOKUP(AF596,AKT!$C$4:$E$324,3,FALSE)</f>
        <v>0942</v>
      </c>
    </row>
    <row r="597" spans="30:33">
      <c r="AD597" t="s">
        <v>2579</v>
      </c>
      <c r="AE597" t="s">
        <v>2580</v>
      </c>
      <c r="AF597" t="str">
        <f t="shared" si="70"/>
        <v>A679078</v>
      </c>
      <c r="AG597" t="str">
        <f>VLOOKUP(AF597,AKT!$C$4:$E$324,3,FALSE)</f>
        <v>0942</v>
      </c>
    </row>
    <row r="598" spans="30:33">
      <c r="AD598" t="s">
        <v>2581</v>
      </c>
      <c r="AE598" t="s">
        <v>2582</v>
      </c>
      <c r="AF598" t="str">
        <f t="shared" si="70"/>
        <v>A679078</v>
      </c>
      <c r="AG598" t="str">
        <f>VLOOKUP(AF598,AKT!$C$4:$E$324,3,FALSE)</f>
        <v>0942</v>
      </c>
    </row>
    <row r="599" spans="30:33">
      <c r="AD599" t="s">
        <v>2583</v>
      </c>
      <c r="AE599" t="s">
        <v>2584</v>
      </c>
      <c r="AF599" t="str">
        <f t="shared" si="70"/>
        <v>A679078</v>
      </c>
      <c r="AG599" t="str">
        <f>VLOOKUP(AF599,AKT!$C$4:$E$324,3,FALSE)</f>
        <v>0942</v>
      </c>
    </row>
    <row r="600" spans="30:33">
      <c r="AD600" t="s">
        <v>2585</v>
      </c>
      <c r="AE600" t="s">
        <v>2586</v>
      </c>
      <c r="AF600" t="str">
        <f t="shared" si="70"/>
        <v>A679078</v>
      </c>
      <c r="AG600" t="str">
        <f>VLOOKUP(AF600,AKT!$C$4:$E$324,3,FALSE)</f>
        <v>0942</v>
      </c>
    </row>
    <row r="601" spans="30:33">
      <c r="AD601" t="s">
        <v>2587</v>
      </c>
      <c r="AE601" t="s">
        <v>2588</v>
      </c>
      <c r="AF601" t="str">
        <f t="shared" si="70"/>
        <v>A679078</v>
      </c>
      <c r="AG601" t="str">
        <f>VLOOKUP(AF601,AKT!$C$4:$E$324,3,FALSE)</f>
        <v>0942</v>
      </c>
    </row>
    <row r="602" spans="30:33">
      <c r="AD602" t="s">
        <v>2589</v>
      </c>
      <c r="AE602" t="s">
        <v>2590</v>
      </c>
      <c r="AF602" t="str">
        <f t="shared" si="70"/>
        <v>A679078</v>
      </c>
      <c r="AG602" t="str">
        <f>VLOOKUP(AF602,AKT!$C$4:$E$324,3,FALSE)</f>
        <v>0942</v>
      </c>
    </row>
    <row r="603" spans="30:33">
      <c r="AD603" t="s">
        <v>2591</v>
      </c>
      <c r="AE603" t="s">
        <v>2592</v>
      </c>
      <c r="AF603" t="str">
        <f t="shared" si="70"/>
        <v>A679078</v>
      </c>
      <c r="AG603" t="str">
        <f>VLOOKUP(AF603,AKT!$C$4:$E$324,3,FALSE)</f>
        <v>0942</v>
      </c>
    </row>
    <row r="604" spans="30:33">
      <c r="AD604" t="s">
        <v>2593</v>
      </c>
      <c r="AE604" t="s">
        <v>2594</v>
      </c>
      <c r="AF604" t="str">
        <f t="shared" si="70"/>
        <v>A679078</v>
      </c>
      <c r="AG604" t="str">
        <f>VLOOKUP(AF604,AKT!$C$4:$E$324,3,FALSE)</f>
        <v>0942</v>
      </c>
    </row>
    <row r="605" spans="30:33">
      <c r="AD605" t="s">
        <v>2595</v>
      </c>
      <c r="AE605" t="s">
        <v>2596</v>
      </c>
      <c r="AF605" t="str">
        <f t="shared" si="70"/>
        <v>A679078</v>
      </c>
      <c r="AG605" t="str">
        <f>VLOOKUP(AF605,AKT!$C$4:$E$324,3,FALSE)</f>
        <v>0942</v>
      </c>
    </row>
    <row r="606" spans="30:33">
      <c r="AD606" t="s">
        <v>2597</v>
      </c>
      <c r="AE606" t="s">
        <v>2598</v>
      </c>
      <c r="AF606" t="str">
        <f t="shared" si="70"/>
        <v>A679078</v>
      </c>
      <c r="AG606" t="str">
        <f>VLOOKUP(AF606,AKT!$C$4:$E$324,3,FALSE)</f>
        <v>0942</v>
      </c>
    </row>
    <row r="607" spans="30:33">
      <c r="AD607" t="s">
        <v>2599</v>
      </c>
      <c r="AE607" t="s">
        <v>2600</v>
      </c>
      <c r="AF607" t="str">
        <f t="shared" si="70"/>
        <v>A679078</v>
      </c>
      <c r="AG607" t="str">
        <f>VLOOKUP(AF607,AKT!$C$4:$E$324,3,FALSE)</f>
        <v>0942</v>
      </c>
    </row>
    <row r="608" spans="30:33">
      <c r="AD608" t="s">
        <v>2601</v>
      </c>
      <c r="AE608" t="s">
        <v>2602</v>
      </c>
      <c r="AF608" t="str">
        <f t="shared" si="70"/>
        <v>A679078</v>
      </c>
      <c r="AG608" t="str">
        <f>VLOOKUP(AF608,AKT!$C$4:$E$324,3,FALSE)</f>
        <v>0942</v>
      </c>
    </row>
    <row r="609" spans="30:33">
      <c r="AD609" t="s">
        <v>2603</v>
      </c>
      <c r="AE609" t="s">
        <v>2604</v>
      </c>
      <c r="AF609" t="str">
        <f t="shared" si="70"/>
        <v>A679078</v>
      </c>
      <c r="AG609" t="str">
        <f>VLOOKUP(AF609,AKT!$C$4:$E$324,3,FALSE)</f>
        <v>0942</v>
      </c>
    </row>
    <row r="610" spans="30:33">
      <c r="AD610" t="s">
        <v>2605</v>
      </c>
      <c r="AE610" t="s">
        <v>2606</v>
      </c>
      <c r="AF610" t="str">
        <f t="shared" si="70"/>
        <v>A679078</v>
      </c>
      <c r="AG610" t="str">
        <f>VLOOKUP(AF610,AKT!$C$4:$E$324,3,FALSE)</f>
        <v>0942</v>
      </c>
    </row>
    <row r="611" spans="30:33">
      <c r="AD611" t="s">
        <v>2607</v>
      </c>
      <c r="AE611" t="s">
        <v>1796</v>
      </c>
      <c r="AF611" t="str">
        <f t="shared" si="70"/>
        <v>A679078</v>
      </c>
      <c r="AG611" t="str">
        <f>VLOOKUP(AF611,AKT!$C$4:$E$324,3,FALSE)</f>
        <v>0942</v>
      </c>
    </row>
    <row r="612" spans="30:33">
      <c r="AD612" t="s">
        <v>2608</v>
      </c>
      <c r="AE612" t="s">
        <v>2609</v>
      </c>
      <c r="AF612" t="str">
        <f t="shared" si="70"/>
        <v>A679078</v>
      </c>
      <c r="AG612" t="str">
        <f>VLOOKUP(AF612,AKT!$C$4:$E$324,3,FALSE)</f>
        <v>0942</v>
      </c>
    </row>
    <row r="613" spans="30:33">
      <c r="AD613" t="s">
        <v>2610</v>
      </c>
      <c r="AE613" t="s">
        <v>2611</v>
      </c>
      <c r="AF613" t="str">
        <f t="shared" si="70"/>
        <v>A679078</v>
      </c>
      <c r="AG613" t="str">
        <f>VLOOKUP(AF613,AKT!$C$4:$E$324,3,FALSE)</f>
        <v>0942</v>
      </c>
    </row>
    <row r="614" spans="30:33">
      <c r="AD614" t="s">
        <v>2612</v>
      </c>
      <c r="AE614" t="s">
        <v>2613</v>
      </c>
      <c r="AF614" t="str">
        <f t="shared" si="70"/>
        <v>A679078</v>
      </c>
      <c r="AG614" t="str">
        <f>VLOOKUP(AF614,AKT!$C$4:$E$324,3,FALSE)</f>
        <v>0942</v>
      </c>
    </row>
    <row r="615" spans="30:33">
      <c r="AD615" t="s">
        <v>2614</v>
      </c>
      <c r="AE615" t="s">
        <v>2615</v>
      </c>
      <c r="AF615" t="str">
        <f t="shared" si="70"/>
        <v>A679078</v>
      </c>
      <c r="AG615" t="str">
        <f>VLOOKUP(AF615,AKT!$C$4:$E$324,3,FALSE)</f>
        <v>0942</v>
      </c>
    </row>
    <row r="616" spans="30:33">
      <c r="AD616" t="s">
        <v>2616</v>
      </c>
      <c r="AE616" t="s">
        <v>2617</v>
      </c>
      <c r="AF616" t="str">
        <f t="shared" si="70"/>
        <v>A679078</v>
      </c>
      <c r="AG616" t="str">
        <f>VLOOKUP(AF616,AKT!$C$4:$E$324,3,FALSE)</f>
        <v>0942</v>
      </c>
    </row>
    <row r="617" spans="30:33">
      <c r="AD617" t="s">
        <v>2618</v>
      </c>
      <c r="AE617" t="s">
        <v>2619</v>
      </c>
      <c r="AF617" t="str">
        <f t="shared" si="70"/>
        <v>A679078</v>
      </c>
      <c r="AG617" t="str">
        <f>VLOOKUP(AF617,AKT!$C$4:$E$324,3,FALSE)</f>
        <v>0942</v>
      </c>
    </row>
    <row r="618" spans="30:33">
      <c r="AD618" t="s">
        <v>2620</v>
      </c>
      <c r="AE618" t="s">
        <v>2621</v>
      </c>
      <c r="AF618" t="str">
        <f t="shared" si="70"/>
        <v>A679078</v>
      </c>
      <c r="AG618" t="str">
        <f>VLOOKUP(AF618,AKT!$C$4:$E$324,3,FALSE)</f>
        <v>0942</v>
      </c>
    </row>
    <row r="619" spans="30:33">
      <c r="AD619" t="s">
        <v>2622</v>
      </c>
      <c r="AE619" t="s">
        <v>2623</v>
      </c>
      <c r="AF619" t="str">
        <f t="shared" si="70"/>
        <v>A679078</v>
      </c>
      <c r="AG619" t="str">
        <f>VLOOKUP(AF619,AKT!$C$4:$E$324,3,FALSE)</f>
        <v>0942</v>
      </c>
    </row>
    <row r="620" spans="30:33">
      <c r="AD620" t="s">
        <v>2624</v>
      </c>
      <c r="AE620" t="s">
        <v>2625</v>
      </c>
      <c r="AF620" t="str">
        <f t="shared" si="70"/>
        <v>A679078</v>
      </c>
      <c r="AG620" t="str">
        <f>VLOOKUP(AF620,AKT!$C$4:$E$324,3,FALSE)</f>
        <v>0942</v>
      </c>
    </row>
    <row r="621" spans="30:33">
      <c r="AD621" t="s">
        <v>2626</v>
      </c>
      <c r="AE621" t="s">
        <v>2627</v>
      </c>
      <c r="AF621" t="str">
        <f t="shared" si="70"/>
        <v>A679078</v>
      </c>
      <c r="AG621" t="str">
        <f>VLOOKUP(AF621,AKT!$C$4:$E$324,3,FALSE)</f>
        <v>0942</v>
      </c>
    </row>
    <row r="622" spans="30:33">
      <c r="AD622" t="s">
        <v>2628</v>
      </c>
      <c r="AE622" t="s">
        <v>2629</v>
      </c>
      <c r="AF622" t="str">
        <f t="shared" si="70"/>
        <v>A679078</v>
      </c>
      <c r="AG622" t="str">
        <f>VLOOKUP(AF622,AKT!$C$4:$E$324,3,FALSE)</f>
        <v>0942</v>
      </c>
    </row>
    <row r="623" spans="30:33">
      <c r="AD623" t="s">
        <v>2630</v>
      </c>
      <c r="AE623" t="s">
        <v>2631</v>
      </c>
      <c r="AF623" t="str">
        <f t="shared" si="70"/>
        <v>A679078</v>
      </c>
      <c r="AG623" t="str">
        <f>VLOOKUP(AF623,AKT!$C$4:$E$324,3,FALSE)</f>
        <v>0942</v>
      </c>
    </row>
    <row r="624" spans="30:33">
      <c r="AD624" t="s">
        <v>2632</v>
      </c>
      <c r="AE624" t="s">
        <v>2633</v>
      </c>
      <c r="AF624" t="str">
        <f t="shared" si="70"/>
        <v>A679078</v>
      </c>
      <c r="AG624" t="str">
        <f>VLOOKUP(AF624,AKT!$C$4:$E$324,3,FALSE)</f>
        <v>0942</v>
      </c>
    </row>
    <row r="625" spans="30:33">
      <c r="AD625" t="s">
        <v>2634</v>
      </c>
      <c r="AE625" t="s">
        <v>2635</v>
      </c>
      <c r="AF625" t="str">
        <f t="shared" si="70"/>
        <v>A679078</v>
      </c>
      <c r="AG625" t="str">
        <f>VLOOKUP(AF625,AKT!$C$4:$E$324,3,FALSE)</f>
        <v>0942</v>
      </c>
    </row>
    <row r="626" spans="30:33">
      <c r="AD626" t="s">
        <v>2636</v>
      </c>
      <c r="AE626" t="s">
        <v>2637</v>
      </c>
      <c r="AF626" t="str">
        <f t="shared" si="70"/>
        <v>A679078</v>
      </c>
      <c r="AG626" t="str">
        <f>VLOOKUP(AF626,AKT!$C$4:$E$324,3,FALSE)</f>
        <v>0942</v>
      </c>
    </row>
    <row r="627" spans="30:33">
      <c r="AD627" t="s">
        <v>2638</v>
      </c>
      <c r="AE627" t="s">
        <v>2639</v>
      </c>
      <c r="AF627" t="str">
        <f t="shared" si="70"/>
        <v>A679078</v>
      </c>
      <c r="AG627" t="str">
        <f>VLOOKUP(AF627,AKT!$C$4:$E$324,3,FALSE)</f>
        <v>0942</v>
      </c>
    </row>
    <row r="628" spans="30:33">
      <c r="AD628" t="s">
        <v>2640</v>
      </c>
      <c r="AE628" t="s">
        <v>2641</v>
      </c>
      <c r="AF628" t="str">
        <f t="shared" si="70"/>
        <v>A679078</v>
      </c>
      <c r="AG628" t="str">
        <f>VLOOKUP(AF628,AKT!$C$4:$E$324,3,FALSE)</f>
        <v>0942</v>
      </c>
    </row>
    <row r="629" spans="30:33">
      <c r="AD629" t="s">
        <v>2642</v>
      </c>
      <c r="AE629" t="s">
        <v>2643</v>
      </c>
      <c r="AF629" t="str">
        <f t="shared" si="70"/>
        <v>A679078</v>
      </c>
      <c r="AG629" t="str">
        <f>VLOOKUP(AF629,AKT!$C$4:$E$324,3,FALSE)</f>
        <v>0942</v>
      </c>
    </row>
    <row r="630" spans="30:33">
      <c r="AD630" t="s">
        <v>2644</v>
      </c>
      <c r="AE630" t="s">
        <v>2645</v>
      </c>
      <c r="AF630" t="str">
        <f t="shared" si="70"/>
        <v>A679078</v>
      </c>
      <c r="AG630" t="str">
        <f>VLOOKUP(AF630,AKT!$C$4:$E$324,3,FALSE)</f>
        <v>0942</v>
      </c>
    </row>
    <row r="631" spans="30:33">
      <c r="AD631" t="s">
        <v>2646</v>
      </c>
      <c r="AE631" t="s">
        <v>2647</v>
      </c>
      <c r="AF631" t="str">
        <f t="shared" si="70"/>
        <v>A679078</v>
      </c>
      <c r="AG631" t="str">
        <f>VLOOKUP(AF631,AKT!$C$4:$E$324,3,FALSE)</f>
        <v>0942</v>
      </c>
    </row>
    <row r="632" spans="30:33">
      <c r="AD632" t="s">
        <v>2648</v>
      </c>
      <c r="AE632" t="s">
        <v>2649</v>
      </c>
      <c r="AF632" t="str">
        <f t="shared" si="70"/>
        <v>A679078</v>
      </c>
      <c r="AG632" t="str">
        <f>VLOOKUP(AF632,AKT!$C$4:$E$324,3,FALSE)</f>
        <v>0942</v>
      </c>
    </row>
    <row r="633" spans="30:33">
      <c r="AD633" t="s">
        <v>2650</v>
      </c>
      <c r="AE633" t="s">
        <v>2651</v>
      </c>
      <c r="AF633" t="str">
        <f t="shared" si="70"/>
        <v>A679078</v>
      </c>
      <c r="AG633" t="str">
        <f>VLOOKUP(AF633,AKT!$C$4:$E$324,3,FALSE)</f>
        <v>0942</v>
      </c>
    </row>
    <row r="634" spans="30:33">
      <c r="AD634" t="s">
        <v>2652</v>
      </c>
      <c r="AE634" t="s">
        <v>2653</v>
      </c>
      <c r="AF634" t="str">
        <f t="shared" si="70"/>
        <v>A679078</v>
      </c>
      <c r="AG634" t="str">
        <f>VLOOKUP(AF634,AKT!$C$4:$E$324,3,FALSE)</f>
        <v>0942</v>
      </c>
    </row>
    <row r="635" spans="30:33">
      <c r="AD635" t="s">
        <v>2654</v>
      </c>
      <c r="AE635" t="s">
        <v>2655</v>
      </c>
      <c r="AF635" t="str">
        <f t="shared" si="70"/>
        <v>A679078</v>
      </c>
      <c r="AG635" t="str">
        <f>VLOOKUP(AF635,AKT!$C$4:$E$324,3,FALSE)</f>
        <v>0942</v>
      </c>
    </row>
    <row r="636" spans="30:33">
      <c r="AD636" t="s">
        <v>2656</v>
      </c>
      <c r="AE636" t="s">
        <v>2657</v>
      </c>
      <c r="AF636" t="str">
        <f t="shared" si="70"/>
        <v>A679078</v>
      </c>
      <c r="AG636" t="str">
        <f>VLOOKUP(AF636,AKT!$C$4:$E$324,3,FALSE)</f>
        <v>0942</v>
      </c>
    </row>
    <row r="637" spans="30:33">
      <c r="AD637" t="s">
        <v>2658</v>
      </c>
      <c r="AE637" t="s">
        <v>2659</v>
      </c>
      <c r="AF637" t="str">
        <f t="shared" si="70"/>
        <v>A679078</v>
      </c>
      <c r="AG637" t="str">
        <f>VLOOKUP(AF637,AKT!$C$4:$E$324,3,FALSE)</f>
        <v>0942</v>
      </c>
    </row>
    <row r="638" spans="30:33">
      <c r="AD638" t="s">
        <v>2660</v>
      </c>
      <c r="AE638" t="s">
        <v>2661</v>
      </c>
      <c r="AF638" t="str">
        <f t="shared" si="70"/>
        <v>A679078</v>
      </c>
      <c r="AG638" t="str">
        <f>VLOOKUP(AF638,AKT!$C$4:$E$324,3,FALSE)</f>
        <v>0942</v>
      </c>
    </row>
    <row r="639" spans="30:33">
      <c r="AD639" t="s">
        <v>2662</v>
      </c>
      <c r="AE639" t="s">
        <v>2663</v>
      </c>
      <c r="AF639" t="str">
        <f t="shared" si="70"/>
        <v>A679078</v>
      </c>
      <c r="AG639" t="str">
        <f>VLOOKUP(AF639,AKT!$C$4:$E$324,3,FALSE)</f>
        <v>0942</v>
      </c>
    </row>
    <row r="640" spans="30:33">
      <c r="AD640" t="s">
        <v>2664</v>
      </c>
      <c r="AE640" t="s">
        <v>2665</v>
      </c>
      <c r="AF640" t="str">
        <f t="shared" si="70"/>
        <v>A679078</v>
      </c>
      <c r="AG640" t="str">
        <f>VLOOKUP(AF640,AKT!$C$4:$E$324,3,FALSE)</f>
        <v>0942</v>
      </c>
    </row>
    <row r="641" spans="30:33">
      <c r="AD641" t="s">
        <v>2666</v>
      </c>
      <c r="AE641" t="s">
        <v>2667</v>
      </c>
      <c r="AF641" t="str">
        <f t="shared" si="70"/>
        <v>A679078</v>
      </c>
      <c r="AG641" t="str">
        <f>VLOOKUP(AF641,AKT!$C$4:$E$324,3,FALSE)</f>
        <v>0942</v>
      </c>
    </row>
    <row r="642" spans="30:33">
      <c r="AD642" t="s">
        <v>2668</v>
      </c>
      <c r="AE642" t="s">
        <v>2669</v>
      </c>
      <c r="AF642" t="str">
        <f t="shared" si="70"/>
        <v>A679078</v>
      </c>
      <c r="AG642" t="str">
        <f>VLOOKUP(AF642,AKT!$C$4:$E$324,3,FALSE)</f>
        <v>0942</v>
      </c>
    </row>
    <row r="643" spans="30:33">
      <c r="AD643" t="s">
        <v>2670</v>
      </c>
      <c r="AE643" t="s">
        <v>2671</v>
      </c>
      <c r="AF643" t="str">
        <f t="shared" ref="AF643:AF706" si="71">LEFT(AD643,7)</f>
        <v>A679078</v>
      </c>
      <c r="AG643" t="str">
        <f>VLOOKUP(AF643,AKT!$C$4:$E$324,3,FALSE)</f>
        <v>0942</v>
      </c>
    </row>
    <row r="644" spans="30:33">
      <c r="AD644" t="s">
        <v>2672</v>
      </c>
      <c r="AE644" t="s">
        <v>2673</v>
      </c>
      <c r="AF644" t="str">
        <f t="shared" si="71"/>
        <v>A679078</v>
      </c>
      <c r="AG644" t="str">
        <f>VLOOKUP(AF644,AKT!$C$4:$E$324,3,FALSE)</f>
        <v>0942</v>
      </c>
    </row>
    <row r="645" spans="30:33">
      <c r="AD645" t="s">
        <v>2674</v>
      </c>
      <c r="AE645" t="s">
        <v>2675</v>
      </c>
      <c r="AF645" t="str">
        <f t="shared" si="71"/>
        <v>A679078</v>
      </c>
      <c r="AG645" t="str">
        <f>VLOOKUP(AF645,AKT!$C$4:$E$324,3,FALSE)</f>
        <v>0942</v>
      </c>
    </row>
    <row r="646" spans="30:33">
      <c r="AD646" t="s">
        <v>2676</v>
      </c>
      <c r="AE646" t="s">
        <v>2677</v>
      </c>
      <c r="AF646" t="str">
        <f t="shared" si="71"/>
        <v>A679078</v>
      </c>
      <c r="AG646" t="str">
        <f>VLOOKUP(AF646,AKT!$C$4:$E$324,3,FALSE)</f>
        <v>0942</v>
      </c>
    </row>
    <row r="647" spans="30:33">
      <c r="AD647" t="s">
        <v>2678</v>
      </c>
      <c r="AE647" t="s">
        <v>2679</v>
      </c>
      <c r="AF647" t="str">
        <f t="shared" si="71"/>
        <v>A679078</v>
      </c>
      <c r="AG647" t="str">
        <f>VLOOKUP(AF647,AKT!$C$4:$E$324,3,FALSE)</f>
        <v>0942</v>
      </c>
    </row>
    <row r="648" spans="30:33">
      <c r="AD648" t="s">
        <v>2680</v>
      </c>
      <c r="AE648" t="s">
        <v>2681</v>
      </c>
      <c r="AF648" t="str">
        <f t="shared" si="71"/>
        <v>A679078</v>
      </c>
      <c r="AG648" t="str">
        <f>VLOOKUP(AF648,AKT!$C$4:$E$324,3,FALSE)</f>
        <v>0942</v>
      </c>
    </row>
    <row r="649" spans="30:33">
      <c r="AD649" t="s">
        <v>2682</v>
      </c>
      <c r="AE649" t="s">
        <v>2683</v>
      </c>
      <c r="AF649" t="str">
        <f t="shared" si="71"/>
        <v>A679078</v>
      </c>
      <c r="AG649" t="str">
        <f>VLOOKUP(AF649,AKT!$C$4:$E$324,3,FALSE)</f>
        <v>0942</v>
      </c>
    </row>
    <row r="650" spans="30:33">
      <c r="AD650" t="s">
        <v>2684</v>
      </c>
      <c r="AE650" t="s">
        <v>2685</v>
      </c>
      <c r="AF650" t="str">
        <f t="shared" si="71"/>
        <v>A679078</v>
      </c>
      <c r="AG650" t="str">
        <f>VLOOKUP(AF650,AKT!$C$4:$E$324,3,FALSE)</f>
        <v>0942</v>
      </c>
    </row>
    <row r="651" spans="30:33">
      <c r="AD651" t="s">
        <v>2686</v>
      </c>
      <c r="AE651" t="s">
        <v>2687</v>
      </c>
      <c r="AF651" t="str">
        <f t="shared" si="71"/>
        <v>A679078</v>
      </c>
      <c r="AG651" t="str">
        <f>VLOOKUP(AF651,AKT!$C$4:$E$324,3,FALSE)</f>
        <v>0942</v>
      </c>
    </row>
    <row r="652" spans="30:33">
      <c r="AD652" t="s">
        <v>2688</v>
      </c>
      <c r="AE652" t="s">
        <v>2689</v>
      </c>
      <c r="AF652" t="str">
        <f t="shared" si="71"/>
        <v>A679078</v>
      </c>
      <c r="AG652" t="str">
        <f>VLOOKUP(AF652,AKT!$C$4:$E$324,3,FALSE)</f>
        <v>0942</v>
      </c>
    </row>
    <row r="653" spans="30:33">
      <c r="AD653" t="s">
        <v>2690</v>
      </c>
      <c r="AE653" t="s">
        <v>2691</v>
      </c>
      <c r="AF653" t="str">
        <f t="shared" si="71"/>
        <v>A679078</v>
      </c>
      <c r="AG653" t="str">
        <f>VLOOKUP(AF653,AKT!$C$4:$E$324,3,FALSE)</f>
        <v>0942</v>
      </c>
    </row>
    <row r="654" spans="30:33">
      <c r="AD654" t="s">
        <v>2692</v>
      </c>
      <c r="AE654" t="s">
        <v>2693</v>
      </c>
      <c r="AF654" t="str">
        <f t="shared" si="71"/>
        <v>A679078</v>
      </c>
      <c r="AG654" t="str">
        <f>VLOOKUP(AF654,AKT!$C$4:$E$324,3,FALSE)</f>
        <v>0942</v>
      </c>
    </row>
    <row r="655" spans="30:33">
      <c r="AD655" t="s">
        <v>2694</v>
      </c>
      <c r="AE655" t="s">
        <v>2695</v>
      </c>
      <c r="AF655" t="str">
        <f t="shared" si="71"/>
        <v>A679078</v>
      </c>
      <c r="AG655" t="str">
        <f>VLOOKUP(AF655,AKT!$C$4:$E$324,3,FALSE)</f>
        <v>0942</v>
      </c>
    </row>
    <row r="656" spans="30:33">
      <c r="AD656" t="s">
        <v>2696</v>
      </c>
      <c r="AE656" t="s">
        <v>2697</v>
      </c>
      <c r="AF656" t="str">
        <f t="shared" si="71"/>
        <v>A679078</v>
      </c>
      <c r="AG656" t="str">
        <f>VLOOKUP(AF656,AKT!$C$4:$E$324,3,FALSE)</f>
        <v>0942</v>
      </c>
    </row>
    <row r="657" spans="30:33">
      <c r="AD657" t="s">
        <v>2698</v>
      </c>
      <c r="AE657" t="s">
        <v>2699</v>
      </c>
      <c r="AF657" t="str">
        <f t="shared" si="71"/>
        <v>A679078</v>
      </c>
      <c r="AG657" t="str">
        <f>VLOOKUP(AF657,AKT!$C$4:$E$324,3,FALSE)</f>
        <v>0942</v>
      </c>
    </row>
    <row r="658" spans="30:33">
      <c r="AD658" t="s">
        <v>2700</v>
      </c>
      <c r="AE658" t="s">
        <v>2701</v>
      </c>
      <c r="AF658" t="str">
        <f t="shared" si="71"/>
        <v>A679078</v>
      </c>
      <c r="AG658" t="str">
        <f>VLOOKUP(AF658,AKT!$C$4:$E$324,3,FALSE)</f>
        <v>0942</v>
      </c>
    </row>
    <row r="659" spans="30:33">
      <c r="AD659" t="s">
        <v>1442</v>
      </c>
      <c r="AE659" t="s">
        <v>2702</v>
      </c>
      <c r="AF659" t="str">
        <f t="shared" si="71"/>
        <v>A679078</v>
      </c>
      <c r="AG659" t="str">
        <f>VLOOKUP(AF659,AKT!$C$4:$E$324,3,FALSE)</f>
        <v>0942</v>
      </c>
    </row>
    <row r="660" spans="30:33">
      <c r="AD660" t="s">
        <v>2703</v>
      </c>
      <c r="AE660" t="s">
        <v>2704</v>
      </c>
      <c r="AF660" t="str">
        <f t="shared" si="71"/>
        <v>A679078</v>
      </c>
      <c r="AG660" t="str">
        <f>VLOOKUP(AF660,AKT!$C$4:$E$324,3,FALSE)</f>
        <v>0942</v>
      </c>
    </row>
    <row r="661" spans="30:33">
      <c r="AD661" t="s">
        <v>2705</v>
      </c>
      <c r="AE661" t="s">
        <v>2706</v>
      </c>
      <c r="AF661" t="str">
        <f t="shared" si="71"/>
        <v>A679078</v>
      </c>
      <c r="AG661" t="str">
        <f>VLOOKUP(AF661,AKT!$C$4:$E$324,3,FALSE)</f>
        <v>0942</v>
      </c>
    </row>
    <row r="662" spans="30:33">
      <c r="AD662" t="s">
        <v>2707</v>
      </c>
      <c r="AE662" t="s">
        <v>2708</v>
      </c>
      <c r="AF662" t="str">
        <f t="shared" si="71"/>
        <v>A679078</v>
      </c>
      <c r="AG662" t="str">
        <f>VLOOKUP(AF662,AKT!$C$4:$E$324,3,FALSE)</f>
        <v>0942</v>
      </c>
    </row>
    <row r="663" spans="30:33">
      <c r="AD663" t="s">
        <v>2709</v>
      </c>
      <c r="AE663" t="s">
        <v>2710</v>
      </c>
      <c r="AF663" t="str">
        <f t="shared" si="71"/>
        <v>A679078</v>
      </c>
      <c r="AG663" t="str">
        <f>VLOOKUP(AF663,AKT!$C$4:$E$324,3,FALSE)</f>
        <v>0942</v>
      </c>
    </row>
    <row r="664" spans="30:33">
      <c r="AD664" t="s">
        <v>2711</v>
      </c>
      <c r="AE664" t="s">
        <v>2712</v>
      </c>
      <c r="AF664" t="str">
        <f t="shared" si="71"/>
        <v>A679078</v>
      </c>
      <c r="AG664" t="str">
        <f>VLOOKUP(AF664,AKT!$C$4:$E$324,3,FALSE)</f>
        <v>0942</v>
      </c>
    </row>
    <row r="665" spans="30:33">
      <c r="AD665" t="s">
        <v>2713</v>
      </c>
      <c r="AE665" t="s">
        <v>2714</v>
      </c>
      <c r="AF665" t="str">
        <f t="shared" si="71"/>
        <v>A679078</v>
      </c>
      <c r="AG665" t="str">
        <f>VLOOKUP(AF665,AKT!$C$4:$E$324,3,FALSE)</f>
        <v>0942</v>
      </c>
    </row>
    <row r="666" spans="30:33">
      <c r="AD666" t="s">
        <v>2715</v>
      </c>
      <c r="AE666" t="s">
        <v>2716</v>
      </c>
      <c r="AF666" t="str">
        <f t="shared" si="71"/>
        <v>A679078</v>
      </c>
      <c r="AG666" t="str">
        <f>VLOOKUP(AF666,AKT!$C$4:$E$324,3,FALSE)</f>
        <v>0942</v>
      </c>
    </row>
    <row r="667" spans="30:33">
      <c r="AD667" t="s">
        <v>2717</v>
      </c>
      <c r="AE667" t="s">
        <v>2718</v>
      </c>
      <c r="AF667" t="str">
        <f t="shared" si="71"/>
        <v>A679078</v>
      </c>
      <c r="AG667" t="str">
        <f>VLOOKUP(AF667,AKT!$C$4:$E$324,3,FALSE)</f>
        <v>0942</v>
      </c>
    </row>
    <row r="668" spans="30:33">
      <c r="AD668" t="s">
        <v>2719</v>
      </c>
      <c r="AE668" t="s">
        <v>2720</v>
      </c>
      <c r="AF668" t="str">
        <f t="shared" si="71"/>
        <v>A679078</v>
      </c>
      <c r="AG668" t="str">
        <f>VLOOKUP(AF668,AKT!$C$4:$E$324,3,FALSE)</f>
        <v>0942</v>
      </c>
    </row>
    <row r="669" spans="30:33">
      <c r="AD669" t="s">
        <v>2721</v>
      </c>
      <c r="AE669" t="s">
        <v>2722</v>
      </c>
      <c r="AF669" t="str">
        <f t="shared" si="71"/>
        <v>A679078</v>
      </c>
      <c r="AG669" t="str">
        <f>VLOOKUP(AF669,AKT!$C$4:$E$324,3,FALSE)</f>
        <v>0942</v>
      </c>
    </row>
    <row r="670" spans="30:33">
      <c r="AD670" t="s">
        <v>2723</v>
      </c>
      <c r="AE670" t="s">
        <v>2724</v>
      </c>
      <c r="AF670" t="str">
        <f t="shared" si="71"/>
        <v>A679078</v>
      </c>
      <c r="AG670" t="str">
        <f>VLOOKUP(AF670,AKT!$C$4:$E$324,3,FALSE)</f>
        <v>0942</v>
      </c>
    </row>
    <row r="671" spans="30:33">
      <c r="AD671" t="s">
        <v>2725</v>
      </c>
      <c r="AE671" t="s">
        <v>2726</v>
      </c>
      <c r="AF671" t="str">
        <f t="shared" si="71"/>
        <v>A679078</v>
      </c>
      <c r="AG671" t="str">
        <f>VLOOKUP(AF671,AKT!$C$4:$E$324,3,FALSE)</f>
        <v>0942</v>
      </c>
    </row>
    <row r="672" spans="30:33">
      <c r="AD672" t="s">
        <v>2727</v>
      </c>
      <c r="AE672" t="s">
        <v>2728</v>
      </c>
      <c r="AF672" t="str">
        <f t="shared" si="71"/>
        <v>A679078</v>
      </c>
      <c r="AG672" t="str">
        <f>VLOOKUP(AF672,AKT!$C$4:$E$324,3,FALSE)</f>
        <v>0942</v>
      </c>
    </row>
    <row r="673" spans="30:33">
      <c r="AD673" t="s">
        <v>2729</v>
      </c>
      <c r="AE673" t="s">
        <v>2730</v>
      </c>
      <c r="AF673" t="str">
        <f t="shared" si="71"/>
        <v>A679078</v>
      </c>
      <c r="AG673" t="str">
        <f>VLOOKUP(AF673,AKT!$C$4:$E$324,3,FALSE)</f>
        <v>0942</v>
      </c>
    </row>
    <row r="674" spans="30:33">
      <c r="AD674" t="s">
        <v>2731</v>
      </c>
      <c r="AE674" t="s">
        <v>2732</v>
      </c>
      <c r="AF674" t="str">
        <f t="shared" si="71"/>
        <v>A679078</v>
      </c>
      <c r="AG674" t="str">
        <f>VLOOKUP(AF674,AKT!$C$4:$E$324,3,FALSE)</f>
        <v>0942</v>
      </c>
    </row>
    <row r="675" spans="30:33">
      <c r="AD675" t="s">
        <v>2733</v>
      </c>
      <c r="AE675" t="s">
        <v>2734</v>
      </c>
      <c r="AF675" t="str">
        <f t="shared" si="71"/>
        <v>A679078</v>
      </c>
      <c r="AG675" t="str">
        <f>VLOOKUP(AF675,AKT!$C$4:$E$324,3,FALSE)</f>
        <v>0942</v>
      </c>
    </row>
    <row r="676" spans="30:33">
      <c r="AD676" t="s">
        <v>2735</v>
      </c>
      <c r="AE676" t="s">
        <v>2736</v>
      </c>
      <c r="AF676" t="str">
        <f t="shared" si="71"/>
        <v>A679078</v>
      </c>
      <c r="AG676" t="str">
        <f>VLOOKUP(AF676,AKT!$C$4:$E$324,3,FALSE)</f>
        <v>0942</v>
      </c>
    </row>
    <row r="677" spans="30:33">
      <c r="AD677" t="s">
        <v>2737</v>
      </c>
      <c r="AE677" t="s">
        <v>2738</v>
      </c>
      <c r="AF677" t="str">
        <f t="shared" si="71"/>
        <v>A679078</v>
      </c>
      <c r="AG677" t="str">
        <f>VLOOKUP(AF677,AKT!$C$4:$E$324,3,FALSE)</f>
        <v>0942</v>
      </c>
    </row>
    <row r="678" spans="30:33">
      <c r="AD678" t="s">
        <v>2739</v>
      </c>
      <c r="AE678" t="s">
        <v>2740</v>
      </c>
      <c r="AF678" t="str">
        <f t="shared" si="71"/>
        <v>A679078</v>
      </c>
      <c r="AG678" t="str">
        <f>VLOOKUP(AF678,AKT!$C$4:$E$324,3,FALSE)</f>
        <v>0942</v>
      </c>
    </row>
    <row r="679" spans="30:33">
      <c r="AD679" t="s">
        <v>2741</v>
      </c>
      <c r="AE679" t="s">
        <v>2742</v>
      </c>
      <c r="AF679" t="str">
        <f t="shared" si="71"/>
        <v>A679078</v>
      </c>
      <c r="AG679" t="str">
        <f>VLOOKUP(AF679,AKT!$C$4:$E$324,3,FALSE)</f>
        <v>0942</v>
      </c>
    </row>
    <row r="680" spans="30:33">
      <c r="AD680" t="s">
        <v>2743</v>
      </c>
      <c r="AE680" t="s">
        <v>2744</v>
      </c>
      <c r="AF680" t="str">
        <f t="shared" si="71"/>
        <v>A679078</v>
      </c>
      <c r="AG680" t="str">
        <f>VLOOKUP(AF680,AKT!$C$4:$E$324,3,FALSE)</f>
        <v>0942</v>
      </c>
    </row>
    <row r="681" spans="30:33">
      <c r="AD681" t="s">
        <v>2745</v>
      </c>
      <c r="AE681" t="s">
        <v>2746</v>
      </c>
      <c r="AF681" t="str">
        <f t="shared" si="71"/>
        <v>A679078</v>
      </c>
      <c r="AG681" t="str">
        <f>VLOOKUP(AF681,AKT!$C$4:$E$324,3,FALSE)</f>
        <v>0942</v>
      </c>
    </row>
    <row r="682" spans="30:33">
      <c r="AD682" t="s">
        <v>2747</v>
      </c>
      <c r="AE682" t="s">
        <v>2748</v>
      </c>
      <c r="AF682" t="str">
        <f t="shared" si="71"/>
        <v>A679078</v>
      </c>
      <c r="AG682" t="str">
        <f>VLOOKUP(AF682,AKT!$C$4:$E$324,3,FALSE)</f>
        <v>0942</v>
      </c>
    </row>
    <row r="683" spans="30:33">
      <c r="AD683" t="s">
        <v>2749</v>
      </c>
      <c r="AE683" t="s">
        <v>2750</v>
      </c>
      <c r="AF683" t="str">
        <f t="shared" si="71"/>
        <v>A679078</v>
      </c>
      <c r="AG683" t="str">
        <f>VLOOKUP(AF683,AKT!$C$4:$E$324,3,FALSE)</f>
        <v>0942</v>
      </c>
    </row>
    <row r="684" spans="30:33">
      <c r="AD684" t="s">
        <v>2751</v>
      </c>
      <c r="AE684" t="s">
        <v>2752</v>
      </c>
      <c r="AF684" t="str">
        <f t="shared" si="71"/>
        <v>A679078</v>
      </c>
      <c r="AG684" t="str">
        <f>VLOOKUP(AF684,AKT!$C$4:$E$324,3,FALSE)</f>
        <v>0942</v>
      </c>
    </row>
    <row r="685" spans="30:33">
      <c r="AD685" t="s">
        <v>2753</v>
      </c>
      <c r="AE685" t="s">
        <v>2754</v>
      </c>
      <c r="AF685" t="str">
        <f t="shared" si="71"/>
        <v>A679078</v>
      </c>
      <c r="AG685" t="str">
        <f>VLOOKUP(AF685,AKT!$C$4:$E$324,3,FALSE)</f>
        <v>0942</v>
      </c>
    </row>
    <row r="686" spans="30:33">
      <c r="AD686" t="s">
        <v>2755</v>
      </c>
      <c r="AE686" t="s">
        <v>2756</v>
      </c>
      <c r="AF686" t="str">
        <f t="shared" si="71"/>
        <v>A679078</v>
      </c>
      <c r="AG686" t="str">
        <f>VLOOKUP(AF686,AKT!$C$4:$E$324,3,FALSE)</f>
        <v>0942</v>
      </c>
    </row>
    <row r="687" spans="30:33">
      <c r="AD687" t="s">
        <v>2757</v>
      </c>
      <c r="AE687" t="s">
        <v>2758</v>
      </c>
      <c r="AF687" t="str">
        <f t="shared" si="71"/>
        <v>A679078</v>
      </c>
      <c r="AG687" t="str">
        <f>VLOOKUP(AF687,AKT!$C$4:$E$324,3,FALSE)</f>
        <v>0942</v>
      </c>
    </row>
    <row r="688" spans="30:33">
      <c r="AD688" t="s">
        <v>2759</v>
      </c>
      <c r="AE688" t="s">
        <v>2760</v>
      </c>
      <c r="AF688" t="str">
        <f t="shared" si="71"/>
        <v>A679078</v>
      </c>
      <c r="AG688" t="str">
        <f>VLOOKUP(AF688,AKT!$C$4:$E$324,3,FALSE)</f>
        <v>0942</v>
      </c>
    </row>
    <row r="689" spans="30:33">
      <c r="AD689" t="s">
        <v>2761</v>
      </c>
      <c r="AE689" t="s">
        <v>2762</v>
      </c>
      <c r="AF689" t="str">
        <f t="shared" si="71"/>
        <v>A679078</v>
      </c>
      <c r="AG689" t="str">
        <f>VLOOKUP(AF689,AKT!$C$4:$E$324,3,FALSE)</f>
        <v>0942</v>
      </c>
    </row>
    <row r="690" spans="30:33">
      <c r="AD690" t="s">
        <v>2763</v>
      </c>
      <c r="AE690" t="s">
        <v>2764</v>
      </c>
      <c r="AF690" t="str">
        <f t="shared" si="71"/>
        <v>A679078</v>
      </c>
      <c r="AG690" t="str">
        <f>VLOOKUP(AF690,AKT!$C$4:$E$324,3,FALSE)</f>
        <v>0942</v>
      </c>
    </row>
    <row r="691" spans="30:33">
      <c r="AD691" t="s">
        <v>2765</v>
      </c>
      <c r="AE691" t="s">
        <v>2766</v>
      </c>
      <c r="AF691" t="str">
        <f t="shared" si="71"/>
        <v>A679078</v>
      </c>
      <c r="AG691" t="str">
        <f>VLOOKUP(AF691,AKT!$C$4:$E$324,3,FALSE)</f>
        <v>0942</v>
      </c>
    </row>
    <row r="692" spans="30:33">
      <c r="AD692" t="s">
        <v>2767</v>
      </c>
      <c r="AE692" t="s">
        <v>2768</v>
      </c>
      <c r="AF692" t="str">
        <f t="shared" si="71"/>
        <v>A679078</v>
      </c>
      <c r="AG692" t="str">
        <f>VLOOKUP(AF692,AKT!$C$4:$E$324,3,FALSE)</f>
        <v>0942</v>
      </c>
    </row>
    <row r="693" spans="30:33">
      <c r="AD693" t="s">
        <v>2769</v>
      </c>
      <c r="AE693" t="s">
        <v>2770</v>
      </c>
      <c r="AF693" t="str">
        <f t="shared" si="71"/>
        <v>A679078</v>
      </c>
      <c r="AG693" t="str">
        <f>VLOOKUP(AF693,AKT!$C$4:$E$324,3,FALSE)</f>
        <v>0942</v>
      </c>
    </row>
    <row r="694" spans="30:33">
      <c r="AD694" t="s">
        <v>2771</v>
      </c>
      <c r="AE694" t="s">
        <v>2772</v>
      </c>
      <c r="AF694" t="str">
        <f t="shared" si="71"/>
        <v>A679078</v>
      </c>
      <c r="AG694" t="str">
        <f>VLOOKUP(AF694,AKT!$C$4:$E$324,3,FALSE)</f>
        <v>0942</v>
      </c>
    </row>
    <row r="695" spans="30:33">
      <c r="AD695" t="s">
        <v>2773</v>
      </c>
      <c r="AE695" t="s">
        <v>2774</v>
      </c>
      <c r="AF695" t="str">
        <f t="shared" si="71"/>
        <v>A679078</v>
      </c>
      <c r="AG695" t="str">
        <f>VLOOKUP(AF695,AKT!$C$4:$E$324,3,FALSE)</f>
        <v>0942</v>
      </c>
    </row>
    <row r="696" spans="30:33">
      <c r="AD696" t="s">
        <v>2775</v>
      </c>
      <c r="AE696" t="s">
        <v>2776</v>
      </c>
      <c r="AF696" t="str">
        <f t="shared" si="71"/>
        <v>A679078</v>
      </c>
      <c r="AG696" t="str">
        <f>VLOOKUP(AF696,AKT!$C$4:$E$324,3,FALSE)</f>
        <v>0942</v>
      </c>
    </row>
    <row r="697" spans="30:33">
      <c r="AD697" t="s">
        <v>2777</v>
      </c>
      <c r="AE697" t="s">
        <v>2778</v>
      </c>
      <c r="AF697" t="str">
        <f t="shared" si="71"/>
        <v>A679078</v>
      </c>
      <c r="AG697" t="str">
        <f>VLOOKUP(AF697,AKT!$C$4:$E$324,3,FALSE)</f>
        <v>0942</v>
      </c>
    </row>
    <row r="698" spans="30:33">
      <c r="AD698" t="s">
        <v>2779</v>
      </c>
      <c r="AE698" t="s">
        <v>2780</v>
      </c>
      <c r="AF698" t="str">
        <f t="shared" si="71"/>
        <v>A679078</v>
      </c>
      <c r="AG698" t="str">
        <f>VLOOKUP(AF698,AKT!$C$4:$E$324,3,FALSE)</f>
        <v>0942</v>
      </c>
    </row>
    <row r="699" spans="30:33">
      <c r="AD699" t="s">
        <v>2781</v>
      </c>
      <c r="AE699" t="s">
        <v>2782</v>
      </c>
      <c r="AF699" t="str">
        <f t="shared" si="71"/>
        <v>A679078</v>
      </c>
      <c r="AG699" t="str">
        <f>VLOOKUP(AF699,AKT!$C$4:$E$324,3,FALSE)</f>
        <v>0942</v>
      </c>
    </row>
    <row r="700" spans="30:33">
      <c r="AD700" t="s">
        <v>2783</v>
      </c>
      <c r="AE700" t="s">
        <v>2784</v>
      </c>
      <c r="AF700" t="str">
        <f t="shared" si="71"/>
        <v>A679078</v>
      </c>
      <c r="AG700" t="str">
        <f>VLOOKUP(AF700,AKT!$C$4:$E$324,3,FALSE)</f>
        <v>0942</v>
      </c>
    </row>
    <row r="701" spans="30:33">
      <c r="AD701" t="s">
        <v>2785</v>
      </c>
      <c r="AE701" t="s">
        <v>2786</v>
      </c>
      <c r="AF701" t="str">
        <f t="shared" si="71"/>
        <v>A679078</v>
      </c>
      <c r="AG701" t="str">
        <f>VLOOKUP(AF701,AKT!$C$4:$E$324,3,FALSE)</f>
        <v>0942</v>
      </c>
    </row>
    <row r="702" spans="30:33">
      <c r="AD702" t="s">
        <v>2787</v>
      </c>
      <c r="AE702" t="s">
        <v>2788</v>
      </c>
      <c r="AF702" t="str">
        <f t="shared" si="71"/>
        <v>A679078</v>
      </c>
      <c r="AG702" t="str">
        <f>VLOOKUP(AF702,AKT!$C$4:$E$324,3,FALSE)</f>
        <v>0942</v>
      </c>
    </row>
    <row r="703" spans="30:33">
      <c r="AD703" t="s">
        <v>2789</v>
      </c>
      <c r="AE703" t="s">
        <v>2790</v>
      </c>
      <c r="AF703" t="str">
        <f t="shared" si="71"/>
        <v>A679078</v>
      </c>
      <c r="AG703" t="str">
        <f>VLOOKUP(AF703,AKT!$C$4:$E$324,3,FALSE)</f>
        <v>0942</v>
      </c>
    </row>
    <row r="704" spans="30:33">
      <c r="AD704" t="s">
        <v>2791</v>
      </c>
      <c r="AE704" t="s">
        <v>2792</v>
      </c>
      <c r="AF704" t="str">
        <f t="shared" si="71"/>
        <v>A679078</v>
      </c>
      <c r="AG704" t="str">
        <f>VLOOKUP(AF704,AKT!$C$4:$E$324,3,FALSE)</f>
        <v>0942</v>
      </c>
    </row>
    <row r="705" spans="30:33">
      <c r="AD705" t="s">
        <v>2793</v>
      </c>
      <c r="AE705" t="s">
        <v>2794</v>
      </c>
      <c r="AF705" t="str">
        <f t="shared" si="71"/>
        <v>A679078</v>
      </c>
      <c r="AG705" t="str">
        <f>VLOOKUP(AF705,AKT!$C$4:$E$324,3,FALSE)</f>
        <v>0942</v>
      </c>
    </row>
    <row r="706" spans="30:33">
      <c r="AD706" t="s">
        <v>2795</v>
      </c>
      <c r="AE706" t="s">
        <v>2796</v>
      </c>
      <c r="AF706" t="str">
        <f t="shared" si="71"/>
        <v>A679078</v>
      </c>
      <c r="AG706" t="str">
        <f>VLOOKUP(AF706,AKT!$C$4:$E$324,3,FALSE)</f>
        <v>0942</v>
      </c>
    </row>
    <row r="707" spans="30:33">
      <c r="AD707" t="s">
        <v>2797</v>
      </c>
      <c r="AE707" t="s">
        <v>2798</v>
      </c>
      <c r="AF707" t="str">
        <f t="shared" ref="AF707:AF770" si="72">LEFT(AD707,7)</f>
        <v>A679078</v>
      </c>
      <c r="AG707" t="str">
        <f>VLOOKUP(AF707,AKT!$C$4:$E$324,3,FALSE)</f>
        <v>0942</v>
      </c>
    </row>
    <row r="708" spans="30:33">
      <c r="AD708" t="s">
        <v>2799</v>
      </c>
      <c r="AE708" t="s">
        <v>2800</v>
      </c>
      <c r="AF708" t="str">
        <f t="shared" si="72"/>
        <v>A679078</v>
      </c>
      <c r="AG708" t="str">
        <f>VLOOKUP(AF708,AKT!$C$4:$E$324,3,FALSE)</f>
        <v>0942</v>
      </c>
    </row>
    <row r="709" spans="30:33">
      <c r="AD709" t="s">
        <v>2801</v>
      </c>
      <c r="AE709" t="s">
        <v>2802</v>
      </c>
      <c r="AF709" t="str">
        <f t="shared" si="72"/>
        <v>A679078</v>
      </c>
      <c r="AG709" t="str">
        <f>VLOOKUP(AF709,AKT!$C$4:$E$324,3,FALSE)</f>
        <v>0942</v>
      </c>
    </row>
    <row r="710" spans="30:33">
      <c r="AD710" t="s">
        <v>2803</v>
      </c>
      <c r="AE710" t="s">
        <v>2804</v>
      </c>
      <c r="AF710" t="str">
        <f t="shared" si="72"/>
        <v>A679078</v>
      </c>
      <c r="AG710" t="str">
        <f>VLOOKUP(AF710,AKT!$C$4:$E$324,3,FALSE)</f>
        <v>0942</v>
      </c>
    </row>
    <row r="711" spans="30:33">
      <c r="AD711" t="s">
        <v>2805</v>
      </c>
      <c r="AE711" t="s">
        <v>2806</v>
      </c>
      <c r="AF711" t="str">
        <f t="shared" si="72"/>
        <v>A679078</v>
      </c>
      <c r="AG711" t="str">
        <f>VLOOKUP(AF711,AKT!$C$4:$E$324,3,FALSE)</f>
        <v>0942</v>
      </c>
    </row>
    <row r="712" spans="30:33">
      <c r="AD712" t="s">
        <v>2807</v>
      </c>
      <c r="AE712" t="s">
        <v>2808</v>
      </c>
      <c r="AF712" t="str">
        <f t="shared" si="72"/>
        <v>A679078</v>
      </c>
      <c r="AG712" t="str">
        <f>VLOOKUP(AF712,AKT!$C$4:$E$324,3,FALSE)</f>
        <v>0942</v>
      </c>
    </row>
    <row r="713" spans="30:33">
      <c r="AD713" t="s">
        <v>2809</v>
      </c>
      <c r="AE713" t="s">
        <v>2810</v>
      </c>
      <c r="AF713" t="str">
        <f t="shared" si="72"/>
        <v>A679078</v>
      </c>
      <c r="AG713" t="str">
        <f>VLOOKUP(AF713,AKT!$C$4:$E$324,3,FALSE)</f>
        <v>0942</v>
      </c>
    </row>
    <row r="714" spans="30:33">
      <c r="AD714" t="s">
        <v>2811</v>
      </c>
      <c r="AE714" t="s">
        <v>2812</v>
      </c>
      <c r="AF714" t="str">
        <f t="shared" si="72"/>
        <v>A679078</v>
      </c>
      <c r="AG714" t="str">
        <f>VLOOKUP(AF714,AKT!$C$4:$E$324,3,FALSE)</f>
        <v>0942</v>
      </c>
    </row>
    <row r="715" spans="30:33">
      <c r="AD715" t="s">
        <v>2813</v>
      </c>
      <c r="AE715" t="s">
        <v>2814</v>
      </c>
      <c r="AF715" t="str">
        <f t="shared" si="72"/>
        <v>A679078</v>
      </c>
      <c r="AG715" t="str">
        <f>VLOOKUP(AF715,AKT!$C$4:$E$324,3,FALSE)</f>
        <v>0942</v>
      </c>
    </row>
    <row r="716" spans="30:33">
      <c r="AD716" t="s">
        <v>2815</v>
      </c>
      <c r="AE716" t="s">
        <v>2816</v>
      </c>
      <c r="AF716" t="str">
        <f t="shared" si="72"/>
        <v>A679078</v>
      </c>
      <c r="AG716" t="str">
        <f>VLOOKUP(AF716,AKT!$C$4:$E$324,3,FALSE)</f>
        <v>0942</v>
      </c>
    </row>
    <row r="717" spans="30:33">
      <c r="AD717" t="s">
        <v>2817</v>
      </c>
      <c r="AE717" t="s">
        <v>2818</v>
      </c>
      <c r="AF717" t="str">
        <f t="shared" si="72"/>
        <v>A679078</v>
      </c>
      <c r="AG717" t="str">
        <f>VLOOKUP(AF717,AKT!$C$4:$E$324,3,FALSE)</f>
        <v>0942</v>
      </c>
    </row>
    <row r="718" spans="30:33">
      <c r="AD718" t="s">
        <v>2819</v>
      </c>
      <c r="AE718" t="s">
        <v>2820</v>
      </c>
      <c r="AF718" t="str">
        <f t="shared" si="72"/>
        <v>A679078</v>
      </c>
      <c r="AG718" t="str">
        <f>VLOOKUP(AF718,AKT!$C$4:$E$324,3,FALSE)</f>
        <v>0942</v>
      </c>
    </row>
    <row r="719" spans="30:33">
      <c r="AD719" t="s">
        <v>2821</v>
      </c>
      <c r="AE719" t="s">
        <v>2822</v>
      </c>
      <c r="AF719" t="str">
        <f t="shared" si="72"/>
        <v>A679078</v>
      </c>
      <c r="AG719" t="str">
        <f>VLOOKUP(AF719,AKT!$C$4:$E$324,3,FALSE)</f>
        <v>0942</v>
      </c>
    </row>
    <row r="720" spans="30:33">
      <c r="AD720" t="s">
        <v>2823</v>
      </c>
      <c r="AE720" t="s">
        <v>2824</v>
      </c>
      <c r="AF720" t="str">
        <f t="shared" si="72"/>
        <v>A679078</v>
      </c>
      <c r="AG720" t="str">
        <f>VLOOKUP(AF720,AKT!$C$4:$E$324,3,FALSE)</f>
        <v>0942</v>
      </c>
    </row>
    <row r="721" spans="30:33">
      <c r="AD721" t="s">
        <v>2825</v>
      </c>
      <c r="AE721" t="s">
        <v>2826</v>
      </c>
      <c r="AF721" t="str">
        <f t="shared" si="72"/>
        <v>A679078</v>
      </c>
      <c r="AG721" t="str">
        <f>VLOOKUP(AF721,AKT!$C$4:$E$324,3,FALSE)</f>
        <v>0942</v>
      </c>
    </row>
    <row r="722" spans="30:33">
      <c r="AD722" t="s">
        <v>2827</v>
      </c>
      <c r="AE722" t="s">
        <v>2828</v>
      </c>
      <c r="AF722" t="str">
        <f t="shared" si="72"/>
        <v>A679078</v>
      </c>
      <c r="AG722" t="str">
        <f>VLOOKUP(AF722,AKT!$C$4:$E$324,3,FALSE)</f>
        <v>0942</v>
      </c>
    </row>
    <row r="723" spans="30:33">
      <c r="AD723" t="s">
        <v>2829</v>
      </c>
      <c r="AE723" t="s">
        <v>2830</v>
      </c>
      <c r="AF723" t="str">
        <f t="shared" si="72"/>
        <v>A679078</v>
      </c>
      <c r="AG723" t="str">
        <f>VLOOKUP(AF723,AKT!$C$4:$E$324,3,FALSE)</f>
        <v>0942</v>
      </c>
    </row>
    <row r="724" spans="30:33">
      <c r="AD724" t="s">
        <v>2831</v>
      </c>
      <c r="AE724" t="s">
        <v>2832</v>
      </c>
      <c r="AF724" t="str">
        <f t="shared" si="72"/>
        <v>A679078</v>
      </c>
      <c r="AG724" t="str">
        <f>VLOOKUP(AF724,AKT!$C$4:$E$324,3,FALSE)</f>
        <v>0942</v>
      </c>
    </row>
    <row r="725" spans="30:33">
      <c r="AD725" t="s">
        <v>2833</v>
      </c>
      <c r="AE725" t="s">
        <v>2834</v>
      </c>
      <c r="AF725" t="str">
        <f t="shared" si="72"/>
        <v>A679078</v>
      </c>
      <c r="AG725" t="str">
        <f>VLOOKUP(AF725,AKT!$C$4:$E$324,3,FALSE)</f>
        <v>0942</v>
      </c>
    </row>
    <row r="726" spans="30:33">
      <c r="AD726" t="s">
        <v>2835</v>
      </c>
      <c r="AE726" t="s">
        <v>2836</v>
      </c>
      <c r="AF726" t="str">
        <f t="shared" si="72"/>
        <v>A679078</v>
      </c>
      <c r="AG726" t="str">
        <f>VLOOKUP(AF726,AKT!$C$4:$E$324,3,FALSE)</f>
        <v>0942</v>
      </c>
    </row>
    <row r="727" spans="30:33">
      <c r="AD727" t="s">
        <v>2837</v>
      </c>
      <c r="AE727" t="s">
        <v>2838</v>
      </c>
      <c r="AF727" t="str">
        <f t="shared" si="72"/>
        <v>A679078</v>
      </c>
      <c r="AG727" t="str">
        <f>VLOOKUP(AF727,AKT!$C$4:$E$324,3,FALSE)</f>
        <v>0942</v>
      </c>
    </row>
    <row r="728" spans="30:33">
      <c r="AD728" t="s">
        <v>2839</v>
      </c>
      <c r="AE728" t="s">
        <v>2840</v>
      </c>
      <c r="AF728" t="str">
        <f t="shared" si="72"/>
        <v>A679078</v>
      </c>
      <c r="AG728" t="str">
        <f>VLOOKUP(AF728,AKT!$C$4:$E$324,3,FALSE)</f>
        <v>0942</v>
      </c>
    </row>
    <row r="729" spans="30:33">
      <c r="AD729" t="s">
        <v>2841</v>
      </c>
      <c r="AE729" t="s">
        <v>2842</v>
      </c>
      <c r="AF729" t="str">
        <f t="shared" si="72"/>
        <v>A679078</v>
      </c>
      <c r="AG729" t="str">
        <f>VLOOKUP(AF729,AKT!$C$4:$E$324,3,FALSE)</f>
        <v>0942</v>
      </c>
    </row>
    <row r="730" spans="30:33">
      <c r="AD730" t="s">
        <v>2843</v>
      </c>
      <c r="AE730" t="s">
        <v>2844</v>
      </c>
      <c r="AF730" t="str">
        <f t="shared" si="72"/>
        <v>A679078</v>
      </c>
      <c r="AG730" t="str">
        <f>VLOOKUP(AF730,AKT!$C$4:$E$324,3,FALSE)</f>
        <v>0942</v>
      </c>
    </row>
    <row r="731" spans="30:33">
      <c r="AD731" t="s">
        <v>2845</v>
      </c>
      <c r="AE731" t="s">
        <v>2846</v>
      </c>
      <c r="AF731" t="str">
        <f t="shared" si="72"/>
        <v>A679078</v>
      </c>
      <c r="AG731" t="str">
        <f>VLOOKUP(AF731,AKT!$C$4:$E$324,3,FALSE)</f>
        <v>0942</v>
      </c>
    </row>
    <row r="732" spans="30:33">
      <c r="AD732" t="s">
        <v>2847</v>
      </c>
      <c r="AE732" t="s">
        <v>2848</v>
      </c>
      <c r="AF732" t="str">
        <f t="shared" si="72"/>
        <v>A679078</v>
      </c>
      <c r="AG732" t="str">
        <f>VLOOKUP(AF732,AKT!$C$4:$E$324,3,FALSE)</f>
        <v>0942</v>
      </c>
    </row>
    <row r="733" spans="30:33">
      <c r="AD733" t="s">
        <v>2849</v>
      </c>
      <c r="AE733" t="s">
        <v>2114</v>
      </c>
      <c r="AF733" t="str">
        <f t="shared" si="72"/>
        <v>A679078</v>
      </c>
      <c r="AG733" t="str">
        <f>VLOOKUP(AF733,AKT!$C$4:$E$324,3,FALSE)</f>
        <v>0942</v>
      </c>
    </row>
    <row r="734" spans="30:33">
      <c r="AD734" t="s">
        <v>2850</v>
      </c>
      <c r="AE734" t="s">
        <v>2851</v>
      </c>
      <c r="AF734" t="str">
        <f t="shared" si="72"/>
        <v>A679078</v>
      </c>
      <c r="AG734" t="str">
        <f>VLOOKUP(AF734,AKT!$C$4:$E$324,3,FALSE)</f>
        <v>0942</v>
      </c>
    </row>
    <row r="735" spans="30:33">
      <c r="AD735" t="s">
        <v>2852</v>
      </c>
      <c r="AE735" t="s">
        <v>2853</v>
      </c>
      <c r="AF735" t="str">
        <f t="shared" si="72"/>
        <v>A679078</v>
      </c>
      <c r="AG735" t="str">
        <f>VLOOKUP(AF735,AKT!$C$4:$E$324,3,FALSE)</f>
        <v>0942</v>
      </c>
    </row>
    <row r="736" spans="30:33">
      <c r="AD736" t="s">
        <v>2854</v>
      </c>
      <c r="AE736" t="s">
        <v>2855</v>
      </c>
      <c r="AF736" t="str">
        <f t="shared" si="72"/>
        <v>A679078</v>
      </c>
      <c r="AG736" t="str">
        <f>VLOOKUP(AF736,AKT!$C$4:$E$324,3,FALSE)</f>
        <v>0942</v>
      </c>
    </row>
    <row r="737" spans="30:33">
      <c r="AD737" t="s">
        <v>2856</v>
      </c>
      <c r="AE737" t="s">
        <v>2857</v>
      </c>
      <c r="AF737" t="str">
        <f t="shared" si="72"/>
        <v>A679078</v>
      </c>
      <c r="AG737" t="str">
        <f>VLOOKUP(AF737,AKT!$C$4:$E$324,3,FALSE)</f>
        <v>0942</v>
      </c>
    </row>
    <row r="738" spans="30:33">
      <c r="AD738" t="s">
        <v>2858</v>
      </c>
      <c r="AE738" t="s">
        <v>2859</v>
      </c>
      <c r="AF738" t="str">
        <f t="shared" si="72"/>
        <v>A679078</v>
      </c>
      <c r="AG738" t="str">
        <f>VLOOKUP(AF738,AKT!$C$4:$E$324,3,FALSE)</f>
        <v>0942</v>
      </c>
    </row>
    <row r="739" spans="30:33">
      <c r="AD739" t="s">
        <v>2860</v>
      </c>
      <c r="AE739" t="s">
        <v>2861</v>
      </c>
      <c r="AF739" t="str">
        <f t="shared" si="72"/>
        <v>A679078</v>
      </c>
      <c r="AG739" t="str">
        <f>VLOOKUP(AF739,AKT!$C$4:$E$324,3,FALSE)</f>
        <v>0942</v>
      </c>
    </row>
    <row r="740" spans="30:33">
      <c r="AD740" t="s">
        <v>2862</v>
      </c>
      <c r="AE740" t="s">
        <v>2863</v>
      </c>
      <c r="AF740" t="str">
        <f t="shared" si="72"/>
        <v>A679078</v>
      </c>
      <c r="AG740" t="str">
        <f>VLOOKUP(AF740,AKT!$C$4:$E$324,3,FALSE)</f>
        <v>0942</v>
      </c>
    </row>
    <row r="741" spans="30:33">
      <c r="AD741" t="s">
        <v>2864</v>
      </c>
      <c r="AE741" t="s">
        <v>2865</v>
      </c>
      <c r="AF741" t="str">
        <f t="shared" si="72"/>
        <v>A679078</v>
      </c>
      <c r="AG741" t="str">
        <f>VLOOKUP(AF741,AKT!$C$4:$E$324,3,FALSE)</f>
        <v>0942</v>
      </c>
    </row>
    <row r="742" spans="30:33">
      <c r="AD742" t="s">
        <v>2866</v>
      </c>
      <c r="AE742" t="s">
        <v>2867</v>
      </c>
      <c r="AF742" t="str">
        <f t="shared" si="72"/>
        <v>A679078</v>
      </c>
      <c r="AG742" t="str">
        <f>VLOOKUP(AF742,AKT!$C$4:$E$324,3,FALSE)</f>
        <v>0942</v>
      </c>
    </row>
    <row r="743" spans="30:33">
      <c r="AD743" t="s">
        <v>2868</v>
      </c>
      <c r="AE743" t="s">
        <v>2869</v>
      </c>
      <c r="AF743" t="str">
        <f t="shared" si="72"/>
        <v>A679078</v>
      </c>
      <c r="AG743" t="str">
        <f>VLOOKUP(AF743,AKT!$C$4:$E$324,3,FALSE)</f>
        <v>0942</v>
      </c>
    </row>
    <row r="744" spans="30:33">
      <c r="AD744" t="s">
        <v>2870</v>
      </c>
      <c r="AE744" t="s">
        <v>2871</v>
      </c>
      <c r="AF744" t="str">
        <f t="shared" si="72"/>
        <v>A679078</v>
      </c>
      <c r="AG744" t="str">
        <f>VLOOKUP(AF744,AKT!$C$4:$E$324,3,FALSE)</f>
        <v>0942</v>
      </c>
    </row>
    <row r="745" spans="30:33">
      <c r="AD745" t="s">
        <v>2872</v>
      </c>
      <c r="AE745" t="s">
        <v>2873</v>
      </c>
      <c r="AF745" t="str">
        <f t="shared" si="72"/>
        <v>A679078</v>
      </c>
      <c r="AG745" t="str">
        <f>VLOOKUP(AF745,AKT!$C$4:$E$324,3,FALSE)</f>
        <v>0942</v>
      </c>
    </row>
    <row r="746" spans="30:33">
      <c r="AD746" t="s">
        <v>2874</v>
      </c>
      <c r="AE746" t="s">
        <v>2875</v>
      </c>
      <c r="AF746" t="str">
        <f t="shared" si="72"/>
        <v>A679078</v>
      </c>
      <c r="AG746" t="str">
        <f>VLOOKUP(AF746,AKT!$C$4:$E$324,3,FALSE)</f>
        <v>0942</v>
      </c>
    </row>
    <row r="747" spans="30:33">
      <c r="AD747" t="s">
        <v>2876</v>
      </c>
      <c r="AE747" t="s">
        <v>2877</v>
      </c>
      <c r="AF747" t="str">
        <f t="shared" si="72"/>
        <v>A679078</v>
      </c>
      <c r="AG747" t="str">
        <f>VLOOKUP(AF747,AKT!$C$4:$E$324,3,FALSE)</f>
        <v>0942</v>
      </c>
    </row>
    <row r="748" spans="30:33">
      <c r="AD748" t="s">
        <v>2878</v>
      </c>
      <c r="AE748" t="s">
        <v>2879</v>
      </c>
      <c r="AF748" t="str">
        <f t="shared" si="72"/>
        <v>A679078</v>
      </c>
      <c r="AG748" t="str">
        <f>VLOOKUP(AF748,AKT!$C$4:$E$324,3,FALSE)</f>
        <v>0942</v>
      </c>
    </row>
    <row r="749" spans="30:33">
      <c r="AD749" t="s">
        <v>2880</v>
      </c>
      <c r="AE749" t="s">
        <v>2881</v>
      </c>
      <c r="AF749" t="str">
        <f t="shared" si="72"/>
        <v>A679078</v>
      </c>
      <c r="AG749" t="str">
        <f>VLOOKUP(AF749,AKT!$C$4:$E$324,3,FALSE)</f>
        <v>0942</v>
      </c>
    </row>
    <row r="750" spans="30:33">
      <c r="AD750" t="s">
        <v>2882</v>
      </c>
      <c r="AE750" t="s">
        <v>2883</v>
      </c>
      <c r="AF750" t="str">
        <f t="shared" si="72"/>
        <v>A679078</v>
      </c>
      <c r="AG750" t="str">
        <f>VLOOKUP(AF750,AKT!$C$4:$E$324,3,FALSE)</f>
        <v>0942</v>
      </c>
    </row>
    <row r="751" spans="30:33">
      <c r="AD751" t="s">
        <v>2884</v>
      </c>
      <c r="AE751" t="s">
        <v>2885</v>
      </c>
      <c r="AF751" t="str">
        <f t="shared" si="72"/>
        <v>A679078</v>
      </c>
      <c r="AG751" t="str">
        <f>VLOOKUP(AF751,AKT!$C$4:$E$324,3,FALSE)</f>
        <v>0942</v>
      </c>
    </row>
    <row r="752" spans="30:33">
      <c r="AD752" t="s">
        <v>2886</v>
      </c>
      <c r="AE752" t="s">
        <v>2887</v>
      </c>
      <c r="AF752" t="str">
        <f t="shared" si="72"/>
        <v>A679078</v>
      </c>
      <c r="AG752" t="str">
        <f>VLOOKUP(AF752,AKT!$C$4:$E$324,3,FALSE)</f>
        <v>0942</v>
      </c>
    </row>
    <row r="753" spans="30:33">
      <c r="AD753" t="s">
        <v>2888</v>
      </c>
      <c r="AE753" t="s">
        <v>2889</v>
      </c>
      <c r="AF753" t="str">
        <f t="shared" si="72"/>
        <v>A679078</v>
      </c>
      <c r="AG753" t="str">
        <f>VLOOKUP(AF753,AKT!$C$4:$E$324,3,FALSE)</f>
        <v>0942</v>
      </c>
    </row>
    <row r="754" spans="30:33">
      <c r="AD754" t="s">
        <v>2890</v>
      </c>
      <c r="AE754" t="s">
        <v>2891</v>
      </c>
      <c r="AF754" t="str">
        <f t="shared" si="72"/>
        <v>A679078</v>
      </c>
      <c r="AG754" t="str">
        <f>VLOOKUP(AF754,AKT!$C$4:$E$324,3,FALSE)</f>
        <v>0942</v>
      </c>
    </row>
    <row r="755" spans="30:33">
      <c r="AD755" t="s">
        <v>2892</v>
      </c>
      <c r="AE755" t="s">
        <v>2893</v>
      </c>
      <c r="AF755" t="str">
        <f t="shared" si="72"/>
        <v>A679078</v>
      </c>
      <c r="AG755" t="str">
        <f>VLOOKUP(AF755,AKT!$C$4:$E$324,3,FALSE)</f>
        <v>0942</v>
      </c>
    </row>
    <row r="756" spans="30:33">
      <c r="AD756" t="s">
        <v>2894</v>
      </c>
      <c r="AE756" t="s">
        <v>2895</v>
      </c>
      <c r="AF756" t="str">
        <f t="shared" si="72"/>
        <v>A679078</v>
      </c>
      <c r="AG756" t="str">
        <f>VLOOKUP(AF756,AKT!$C$4:$E$324,3,FALSE)</f>
        <v>0942</v>
      </c>
    </row>
    <row r="757" spans="30:33">
      <c r="AD757" t="s">
        <v>2896</v>
      </c>
      <c r="AE757" t="s">
        <v>2897</v>
      </c>
      <c r="AF757" t="str">
        <f t="shared" si="72"/>
        <v>A679078</v>
      </c>
      <c r="AG757" t="str">
        <f>VLOOKUP(AF757,AKT!$C$4:$E$324,3,FALSE)</f>
        <v>0942</v>
      </c>
    </row>
    <row r="758" spans="30:33">
      <c r="AD758" t="s">
        <v>2898</v>
      </c>
      <c r="AE758" t="s">
        <v>2899</v>
      </c>
      <c r="AF758" t="str">
        <f t="shared" si="72"/>
        <v>A679078</v>
      </c>
      <c r="AG758" t="str">
        <f>VLOOKUP(AF758,AKT!$C$4:$E$324,3,FALSE)</f>
        <v>0942</v>
      </c>
    </row>
    <row r="759" spans="30:33">
      <c r="AD759" t="s">
        <v>2900</v>
      </c>
      <c r="AE759" t="s">
        <v>2901</v>
      </c>
      <c r="AF759" t="str">
        <f t="shared" si="72"/>
        <v>A679078</v>
      </c>
      <c r="AG759" t="str">
        <f>VLOOKUP(AF759,AKT!$C$4:$E$324,3,FALSE)</f>
        <v>0942</v>
      </c>
    </row>
    <row r="760" spans="30:33">
      <c r="AD760" t="s">
        <v>2902</v>
      </c>
      <c r="AE760" t="s">
        <v>2903</v>
      </c>
      <c r="AF760" t="str">
        <f t="shared" si="72"/>
        <v>A679078</v>
      </c>
      <c r="AG760" t="str">
        <f>VLOOKUP(AF760,AKT!$C$4:$E$324,3,FALSE)</f>
        <v>0942</v>
      </c>
    </row>
    <row r="761" spans="30:33">
      <c r="AD761" t="s">
        <v>2904</v>
      </c>
      <c r="AE761" t="s">
        <v>2905</v>
      </c>
      <c r="AF761" t="str">
        <f t="shared" si="72"/>
        <v>A679078</v>
      </c>
      <c r="AG761" t="str">
        <f>VLOOKUP(AF761,AKT!$C$4:$E$324,3,FALSE)</f>
        <v>0942</v>
      </c>
    </row>
    <row r="762" spans="30:33">
      <c r="AD762" t="s">
        <v>2906</v>
      </c>
      <c r="AE762" t="s">
        <v>2907</v>
      </c>
      <c r="AF762" t="str">
        <f t="shared" si="72"/>
        <v>A679078</v>
      </c>
      <c r="AG762" t="str">
        <f>VLOOKUP(AF762,AKT!$C$4:$E$324,3,FALSE)</f>
        <v>0942</v>
      </c>
    </row>
    <row r="763" spans="30:33">
      <c r="AD763" t="s">
        <v>2908</v>
      </c>
      <c r="AE763" t="s">
        <v>2909</v>
      </c>
      <c r="AF763" t="str">
        <f t="shared" si="72"/>
        <v>A679078</v>
      </c>
      <c r="AG763" t="str">
        <f>VLOOKUP(AF763,AKT!$C$4:$E$324,3,FALSE)</f>
        <v>0942</v>
      </c>
    </row>
    <row r="764" spans="30:33">
      <c r="AD764" t="s">
        <v>2910</v>
      </c>
      <c r="AE764" t="s">
        <v>2911</v>
      </c>
      <c r="AF764" t="str">
        <f t="shared" si="72"/>
        <v>A679078</v>
      </c>
      <c r="AG764" t="str">
        <f>VLOOKUP(AF764,AKT!$C$4:$E$324,3,FALSE)</f>
        <v>0942</v>
      </c>
    </row>
    <row r="765" spans="30:33">
      <c r="AD765" t="s">
        <v>2912</v>
      </c>
      <c r="AE765" t="s">
        <v>2913</v>
      </c>
      <c r="AF765" t="str">
        <f t="shared" si="72"/>
        <v>A679078</v>
      </c>
      <c r="AG765" t="str">
        <f>VLOOKUP(AF765,AKT!$C$4:$E$324,3,FALSE)</f>
        <v>0942</v>
      </c>
    </row>
    <row r="766" spans="30:33">
      <c r="AD766" t="s">
        <v>2914</v>
      </c>
      <c r="AE766" t="s">
        <v>2915</v>
      </c>
      <c r="AF766" t="str">
        <f t="shared" si="72"/>
        <v>A679078</v>
      </c>
      <c r="AG766" t="str">
        <f>VLOOKUP(AF766,AKT!$C$4:$E$324,3,FALSE)</f>
        <v>0942</v>
      </c>
    </row>
    <row r="767" spans="30:33">
      <c r="AD767" t="s">
        <v>2916</v>
      </c>
      <c r="AE767" t="s">
        <v>2859</v>
      </c>
      <c r="AF767" t="str">
        <f t="shared" si="72"/>
        <v>A679078</v>
      </c>
      <c r="AG767" t="str">
        <f>VLOOKUP(AF767,AKT!$C$4:$E$324,3,FALSE)</f>
        <v>0942</v>
      </c>
    </row>
    <row r="768" spans="30:33">
      <c r="AD768" t="s">
        <v>2917</v>
      </c>
      <c r="AE768" t="s">
        <v>2865</v>
      </c>
      <c r="AF768" t="str">
        <f t="shared" si="72"/>
        <v>A679078</v>
      </c>
      <c r="AG768" t="str">
        <f>VLOOKUP(AF768,AKT!$C$4:$E$324,3,FALSE)</f>
        <v>0942</v>
      </c>
    </row>
    <row r="769" spans="30:33">
      <c r="AD769" t="s">
        <v>2918</v>
      </c>
      <c r="AE769" t="s">
        <v>2919</v>
      </c>
      <c r="AF769" t="str">
        <f t="shared" si="72"/>
        <v>A679078</v>
      </c>
      <c r="AG769" t="str">
        <f>VLOOKUP(AF769,AKT!$C$4:$E$324,3,FALSE)</f>
        <v>0942</v>
      </c>
    </row>
    <row r="770" spans="30:33">
      <c r="AD770" t="s">
        <v>2920</v>
      </c>
      <c r="AE770" t="s">
        <v>2921</v>
      </c>
      <c r="AF770" t="str">
        <f t="shared" si="72"/>
        <v>A679078</v>
      </c>
      <c r="AG770" t="str">
        <f>VLOOKUP(AF770,AKT!$C$4:$E$324,3,FALSE)</f>
        <v>0942</v>
      </c>
    </row>
    <row r="771" spans="30:33">
      <c r="AD771" t="s">
        <v>2922</v>
      </c>
      <c r="AE771" t="s">
        <v>2923</v>
      </c>
      <c r="AF771" t="str">
        <f t="shared" ref="AF771:AF834" si="73">LEFT(AD771,7)</f>
        <v>A679078</v>
      </c>
      <c r="AG771" t="str">
        <f>VLOOKUP(AF771,AKT!$C$4:$E$324,3,FALSE)</f>
        <v>0942</v>
      </c>
    </row>
    <row r="772" spans="30:33">
      <c r="AD772" t="s">
        <v>2924</v>
      </c>
      <c r="AE772" t="s">
        <v>2925</v>
      </c>
      <c r="AF772" t="str">
        <f t="shared" si="73"/>
        <v>A679078</v>
      </c>
      <c r="AG772" t="str">
        <f>VLOOKUP(AF772,AKT!$C$4:$E$324,3,FALSE)</f>
        <v>0942</v>
      </c>
    </row>
    <row r="773" spans="30:33">
      <c r="AD773" t="s">
        <v>2926</v>
      </c>
      <c r="AE773" t="s">
        <v>2927</v>
      </c>
      <c r="AF773" t="str">
        <f t="shared" si="73"/>
        <v>A679078</v>
      </c>
      <c r="AG773" t="str">
        <f>VLOOKUP(AF773,AKT!$C$4:$E$324,3,FALSE)</f>
        <v>0942</v>
      </c>
    </row>
    <row r="774" spans="30:33">
      <c r="AD774" t="s">
        <v>2928</v>
      </c>
      <c r="AE774" t="s">
        <v>2929</v>
      </c>
      <c r="AF774" t="str">
        <f t="shared" si="73"/>
        <v>A679078</v>
      </c>
      <c r="AG774" t="str">
        <f>VLOOKUP(AF774,AKT!$C$4:$E$324,3,FALSE)</f>
        <v>0942</v>
      </c>
    </row>
    <row r="775" spans="30:33">
      <c r="AD775" t="s">
        <v>2930</v>
      </c>
      <c r="AE775" t="s">
        <v>2931</v>
      </c>
      <c r="AF775" t="str">
        <f t="shared" si="73"/>
        <v>A679078</v>
      </c>
      <c r="AG775" t="str">
        <f>VLOOKUP(AF775,AKT!$C$4:$E$324,3,FALSE)</f>
        <v>0942</v>
      </c>
    </row>
    <row r="776" spans="30:33">
      <c r="AD776" t="s">
        <v>2932</v>
      </c>
      <c r="AE776" t="s">
        <v>2933</v>
      </c>
      <c r="AF776" t="str">
        <f t="shared" si="73"/>
        <v>A679078</v>
      </c>
      <c r="AG776" t="str">
        <f>VLOOKUP(AF776,AKT!$C$4:$E$324,3,FALSE)</f>
        <v>0942</v>
      </c>
    </row>
    <row r="777" spans="30:33">
      <c r="AD777" t="s">
        <v>2934</v>
      </c>
      <c r="AE777" t="s">
        <v>2935</v>
      </c>
      <c r="AF777" t="str">
        <f t="shared" si="73"/>
        <v>A679078</v>
      </c>
      <c r="AG777" t="str">
        <f>VLOOKUP(AF777,AKT!$C$4:$E$324,3,FALSE)</f>
        <v>0942</v>
      </c>
    </row>
    <row r="778" spans="30:33">
      <c r="AD778" t="s">
        <v>2936</v>
      </c>
      <c r="AE778" t="s">
        <v>2937</v>
      </c>
      <c r="AF778" t="str">
        <f t="shared" si="73"/>
        <v>A679078</v>
      </c>
      <c r="AG778" t="str">
        <f>VLOOKUP(AF778,AKT!$C$4:$E$324,3,FALSE)</f>
        <v>0942</v>
      </c>
    </row>
    <row r="779" spans="30:33">
      <c r="AD779" t="s">
        <v>2938</v>
      </c>
      <c r="AE779" t="s">
        <v>2939</v>
      </c>
      <c r="AF779" t="str">
        <f t="shared" si="73"/>
        <v>A679078</v>
      </c>
      <c r="AG779" t="str">
        <f>VLOOKUP(AF779,AKT!$C$4:$E$324,3,FALSE)</f>
        <v>0942</v>
      </c>
    </row>
    <row r="780" spans="30:33">
      <c r="AD780" t="s">
        <v>2940</v>
      </c>
      <c r="AE780" t="s">
        <v>2941</v>
      </c>
      <c r="AF780" t="str">
        <f t="shared" si="73"/>
        <v>A679078</v>
      </c>
      <c r="AG780" t="str">
        <f>VLOOKUP(AF780,AKT!$C$4:$E$324,3,FALSE)</f>
        <v>0942</v>
      </c>
    </row>
    <row r="781" spans="30:33">
      <c r="AD781" t="s">
        <v>2942</v>
      </c>
      <c r="AE781" t="s">
        <v>2943</v>
      </c>
      <c r="AF781" t="str">
        <f t="shared" si="73"/>
        <v>A679078</v>
      </c>
      <c r="AG781" t="str">
        <f>VLOOKUP(AF781,AKT!$C$4:$E$324,3,FALSE)</f>
        <v>0942</v>
      </c>
    </row>
    <row r="782" spans="30:33">
      <c r="AD782" t="s">
        <v>2944</v>
      </c>
      <c r="AE782" t="s">
        <v>2945</v>
      </c>
      <c r="AF782" t="str">
        <f t="shared" si="73"/>
        <v>A679078</v>
      </c>
      <c r="AG782" t="str">
        <f>VLOOKUP(AF782,AKT!$C$4:$E$324,3,FALSE)</f>
        <v>0942</v>
      </c>
    </row>
    <row r="783" spans="30:33">
      <c r="AD783" t="s">
        <v>2946</v>
      </c>
      <c r="AE783" t="s">
        <v>2947</v>
      </c>
      <c r="AF783" t="str">
        <f t="shared" si="73"/>
        <v>A679078</v>
      </c>
      <c r="AG783" t="str">
        <f>VLOOKUP(AF783,AKT!$C$4:$E$324,3,FALSE)</f>
        <v>0942</v>
      </c>
    </row>
    <row r="784" spans="30:33">
      <c r="AD784" t="s">
        <v>2948</v>
      </c>
      <c r="AE784" t="s">
        <v>2949</v>
      </c>
      <c r="AF784" t="str">
        <f t="shared" si="73"/>
        <v>A679078</v>
      </c>
      <c r="AG784" t="str">
        <f>VLOOKUP(AF784,AKT!$C$4:$E$324,3,FALSE)</f>
        <v>0942</v>
      </c>
    </row>
    <row r="785" spans="30:33">
      <c r="AD785" t="s">
        <v>2950</v>
      </c>
      <c r="AE785" t="s">
        <v>2951</v>
      </c>
      <c r="AF785" t="str">
        <f t="shared" si="73"/>
        <v>A679078</v>
      </c>
      <c r="AG785" t="str">
        <f>VLOOKUP(AF785,AKT!$C$4:$E$324,3,FALSE)</f>
        <v>0942</v>
      </c>
    </row>
    <row r="786" spans="30:33">
      <c r="AD786" t="s">
        <v>2952</v>
      </c>
      <c r="AE786" t="s">
        <v>2953</v>
      </c>
      <c r="AF786" t="str">
        <f t="shared" si="73"/>
        <v>A679078</v>
      </c>
      <c r="AG786" t="str">
        <f>VLOOKUP(AF786,AKT!$C$4:$E$324,3,FALSE)</f>
        <v>0942</v>
      </c>
    </row>
    <row r="787" spans="30:33">
      <c r="AD787" t="s">
        <v>2954</v>
      </c>
      <c r="AE787" t="s">
        <v>2955</v>
      </c>
      <c r="AF787" t="str">
        <f t="shared" si="73"/>
        <v>A679078</v>
      </c>
      <c r="AG787" t="str">
        <f>VLOOKUP(AF787,AKT!$C$4:$E$324,3,FALSE)</f>
        <v>0942</v>
      </c>
    </row>
    <row r="788" spans="30:33">
      <c r="AD788" t="s">
        <v>2956</v>
      </c>
      <c r="AE788" t="s">
        <v>2957</v>
      </c>
      <c r="AF788" t="str">
        <f t="shared" si="73"/>
        <v>A679078</v>
      </c>
      <c r="AG788" t="str">
        <f>VLOOKUP(AF788,AKT!$C$4:$E$324,3,FALSE)</f>
        <v>0942</v>
      </c>
    </row>
    <row r="789" spans="30:33">
      <c r="AD789" t="s">
        <v>2958</v>
      </c>
      <c r="AE789" t="s">
        <v>2959</v>
      </c>
      <c r="AF789" t="str">
        <f t="shared" si="73"/>
        <v>A679078</v>
      </c>
      <c r="AG789" t="str">
        <f>VLOOKUP(AF789,AKT!$C$4:$E$324,3,FALSE)</f>
        <v>0942</v>
      </c>
    </row>
    <row r="790" spans="30:33">
      <c r="AD790" t="s">
        <v>2960</v>
      </c>
      <c r="AE790" t="s">
        <v>2961</v>
      </c>
      <c r="AF790" t="str">
        <f t="shared" si="73"/>
        <v>A679078</v>
      </c>
      <c r="AG790" t="str">
        <f>VLOOKUP(AF790,AKT!$C$4:$E$324,3,FALSE)</f>
        <v>0942</v>
      </c>
    </row>
    <row r="791" spans="30:33">
      <c r="AD791" t="s">
        <v>2962</v>
      </c>
      <c r="AE791" t="s">
        <v>2963</v>
      </c>
      <c r="AF791" t="str">
        <f t="shared" si="73"/>
        <v>A679078</v>
      </c>
      <c r="AG791" t="str">
        <f>VLOOKUP(AF791,AKT!$C$4:$E$324,3,FALSE)</f>
        <v>0942</v>
      </c>
    </row>
    <row r="792" spans="30:33">
      <c r="AD792" t="s">
        <v>2964</v>
      </c>
      <c r="AE792" t="s">
        <v>2965</v>
      </c>
      <c r="AF792" t="str">
        <f t="shared" si="73"/>
        <v>A679078</v>
      </c>
      <c r="AG792" t="str">
        <f>VLOOKUP(AF792,AKT!$C$4:$E$324,3,FALSE)</f>
        <v>0942</v>
      </c>
    </row>
    <row r="793" spans="30:33">
      <c r="AD793" t="s">
        <v>2966</v>
      </c>
      <c r="AE793" t="s">
        <v>2967</v>
      </c>
      <c r="AF793" t="str">
        <f t="shared" si="73"/>
        <v>A679078</v>
      </c>
      <c r="AG793" t="str">
        <f>VLOOKUP(AF793,AKT!$C$4:$E$324,3,FALSE)</f>
        <v>0942</v>
      </c>
    </row>
    <row r="794" spans="30:33">
      <c r="AD794" t="s">
        <v>2968</v>
      </c>
      <c r="AE794" t="s">
        <v>2969</v>
      </c>
      <c r="AF794" t="str">
        <f t="shared" si="73"/>
        <v>A679078</v>
      </c>
      <c r="AG794" t="str">
        <f>VLOOKUP(AF794,AKT!$C$4:$E$324,3,FALSE)</f>
        <v>0942</v>
      </c>
    </row>
    <row r="795" spans="30:33">
      <c r="AD795" t="s">
        <v>2970</v>
      </c>
      <c r="AE795" t="s">
        <v>2971</v>
      </c>
      <c r="AF795" t="str">
        <f t="shared" si="73"/>
        <v>A679078</v>
      </c>
      <c r="AG795" t="str">
        <f>VLOOKUP(AF795,AKT!$C$4:$E$324,3,FALSE)</f>
        <v>0942</v>
      </c>
    </row>
    <row r="796" spans="30:33">
      <c r="AD796" t="s">
        <v>2972</v>
      </c>
      <c r="AE796" t="s">
        <v>2973</v>
      </c>
      <c r="AF796" t="str">
        <f t="shared" si="73"/>
        <v>A679078</v>
      </c>
      <c r="AG796" t="str">
        <f>VLOOKUP(AF796,AKT!$C$4:$E$324,3,FALSE)</f>
        <v>0942</v>
      </c>
    </row>
    <row r="797" spans="30:33">
      <c r="AD797" t="s">
        <v>2974</v>
      </c>
      <c r="AE797" t="s">
        <v>2975</v>
      </c>
      <c r="AF797" t="str">
        <f t="shared" si="73"/>
        <v>A679078</v>
      </c>
      <c r="AG797" t="str">
        <f>VLOOKUP(AF797,AKT!$C$4:$E$324,3,FALSE)</f>
        <v>0942</v>
      </c>
    </row>
    <row r="798" spans="30:33">
      <c r="AD798" t="s">
        <v>2976</v>
      </c>
      <c r="AE798" t="s">
        <v>2977</v>
      </c>
      <c r="AF798" t="str">
        <f t="shared" si="73"/>
        <v>A679078</v>
      </c>
      <c r="AG798" t="str">
        <f>VLOOKUP(AF798,AKT!$C$4:$E$324,3,FALSE)</f>
        <v>0942</v>
      </c>
    </row>
    <row r="799" spans="30:33">
      <c r="AD799" t="s">
        <v>2978</v>
      </c>
      <c r="AE799" t="s">
        <v>2979</v>
      </c>
      <c r="AF799" t="str">
        <f t="shared" si="73"/>
        <v>A679078</v>
      </c>
      <c r="AG799" t="str">
        <f>VLOOKUP(AF799,AKT!$C$4:$E$324,3,FALSE)</f>
        <v>0942</v>
      </c>
    </row>
    <row r="800" spans="30:33">
      <c r="AD800" t="s">
        <v>2980</v>
      </c>
      <c r="AE800" t="s">
        <v>2981</v>
      </c>
      <c r="AF800" t="str">
        <f t="shared" si="73"/>
        <v>A679078</v>
      </c>
      <c r="AG800" t="str">
        <f>VLOOKUP(AF800,AKT!$C$4:$E$324,3,FALSE)</f>
        <v>0942</v>
      </c>
    </row>
    <row r="801" spans="30:33">
      <c r="AD801" t="s">
        <v>2982</v>
      </c>
      <c r="AE801" t="s">
        <v>2983</v>
      </c>
      <c r="AF801" t="str">
        <f t="shared" si="73"/>
        <v>A679078</v>
      </c>
      <c r="AG801" t="str">
        <f>VLOOKUP(AF801,AKT!$C$4:$E$324,3,FALSE)</f>
        <v>0942</v>
      </c>
    </row>
    <row r="802" spans="30:33">
      <c r="AD802" t="s">
        <v>2984</v>
      </c>
      <c r="AE802" t="s">
        <v>2740</v>
      </c>
      <c r="AF802" t="str">
        <f t="shared" si="73"/>
        <v>A679078</v>
      </c>
      <c r="AG802" t="str">
        <f>VLOOKUP(AF802,AKT!$C$4:$E$324,3,FALSE)</f>
        <v>0942</v>
      </c>
    </row>
    <row r="803" spans="30:33">
      <c r="AD803" t="s">
        <v>2985</v>
      </c>
      <c r="AE803" t="s">
        <v>2986</v>
      </c>
      <c r="AF803" t="str">
        <f t="shared" si="73"/>
        <v>A679078</v>
      </c>
      <c r="AG803" t="str">
        <f>VLOOKUP(AF803,AKT!$C$4:$E$324,3,FALSE)</f>
        <v>0942</v>
      </c>
    </row>
    <row r="804" spans="30:33">
      <c r="AD804" t="s">
        <v>2987</v>
      </c>
      <c r="AE804" t="s">
        <v>2988</v>
      </c>
      <c r="AF804" t="str">
        <f t="shared" si="73"/>
        <v>A679078</v>
      </c>
      <c r="AG804" t="str">
        <f>VLOOKUP(AF804,AKT!$C$4:$E$324,3,FALSE)</f>
        <v>0942</v>
      </c>
    </row>
    <row r="805" spans="30:33">
      <c r="AD805" t="s">
        <v>2989</v>
      </c>
      <c r="AE805" t="s">
        <v>2990</v>
      </c>
      <c r="AF805" t="str">
        <f t="shared" si="73"/>
        <v>A679078</v>
      </c>
      <c r="AG805" t="str">
        <f>VLOOKUP(AF805,AKT!$C$4:$E$324,3,FALSE)</f>
        <v>0942</v>
      </c>
    </row>
    <row r="806" spans="30:33">
      <c r="AD806" t="s">
        <v>2991</v>
      </c>
      <c r="AE806" t="s">
        <v>2992</v>
      </c>
      <c r="AF806" t="str">
        <f t="shared" si="73"/>
        <v>A679078</v>
      </c>
      <c r="AG806" t="str">
        <f>VLOOKUP(AF806,AKT!$C$4:$E$324,3,FALSE)</f>
        <v>0942</v>
      </c>
    </row>
    <row r="807" spans="30:33">
      <c r="AD807" t="s">
        <v>2993</v>
      </c>
      <c r="AE807" t="s">
        <v>2994</v>
      </c>
      <c r="AF807" t="str">
        <f t="shared" si="73"/>
        <v>A679078</v>
      </c>
      <c r="AG807" t="str">
        <f>VLOOKUP(AF807,AKT!$C$4:$E$324,3,FALSE)</f>
        <v>0942</v>
      </c>
    </row>
    <row r="808" spans="30:33">
      <c r="AD808" t="s">
        <v>2995</v>
      </c>
      <c r="AE808" t="s">
        <v>2996</v>
      </c>
      <c r="AF808" t="str">
        <f t="shared" si="73"/>
        <v>A679078</v>
      </c>
      <c r="AG808" t="str">
        <f>VLOOKUP(AF808,AKT!$C$4:$E$324,3,FALSE)</f>
        <v>0942</v>
      </c>
    </row>
    <row r="809" spans="30:33">
      <c r="AD809" t="s">
        <v>2997</v>
      </c>
      <c r="AE809" t="s">
        <v>2998</v>
      </c>
      <c r="AF809" t="str">
        <f t="shared" si="73"/>
        <v>A679078</v>
      </c>
      <c r="AG809" t="str">
        <f>VLOOKUP(AF809,AKT!$C$4:$E$324,3,FALSE)</f>
        <v>0942</v>
      </c>
    </row>
    <row r="810" spans="30:33">
      <c r="AD810" t="s">
        <v>2999</v>
      </c>
      <c r="AE810" t="s">
        <v>3000</v>
      </c>
      <c r="AF810" t="str">
        <f t="shared" si="73"/>
        <v>A679078</v>
      </c>
      <c r="AG810" t="str">
        <f>VLOOKUP(AF810,AKT!$C$4:$E$324,3,FALSE)</f>
        <v>0942</v>
      </c>
    </row>
    <row r="811" spans="30:33">
      <c r="AD811" t="s">
        <v>3001</v>
      </c>
      <c r="AE811" t="s">
        <v>3002</v>
      </c>
      <c r="AF811" t="str">
        <f t="shared" si="73"/>
        <v>A679078</v>
      </c>
      <c r="AG811" t="str">
        <f>VLOOKUP(AF811,AKT!$C$4:$E$324,3,FALSE)</f>
        <v>0942</v>
      </c>
    </row>
    <row r="812" spans="30:33">
      <c r="AD812" t="s">
        <v>3003</v>
      </c>
      <c r="AE812" t="s">
        <v>3004</v>
      </c>
      <c r="AF812" t="str">
        <f t="shared" si="73"/>
        <v>A679078</v>
      </c>
      <c r="AG812" t="str">
        <f>VLOOKUP(AF812,AKT!$C$4:$E$324,3,FALSE)</f>
        <v>0942</v>
      </c>
    </row>
    <row r="813" spans="30:33">
      <c r="AD813" t="s">
        <v>3005</v>
      </c>
      <c r="AE813" t="s">
        <v>3006</v>
      </c>
      <c r="AF813" t="str">
        <f t="shared" si="73"/>
        <v>A679078</v>
      </c>
      <c r="AG813" t="str">
        <f>VLOOKUP(AF813,AKT!$C$4:$E$324,3,FALSE)</f>
        <v>0942</v>
      </c>
    </row>
    <row r="814" spans="30:33">
      <c r="AD814" t="s">
        <v>3007</v>
      </c>
      <c r="AE814" t="s">
        <v>3008</v>
      </c>
      <c r="AF814" t="str">
        <f t="shared" si="73"/>
        <v>A679078</v>
      </c>
      <c r="AG814" t="str">
        <f>VLOOKUP(AF814,AKT!$C$4:$E$324,3,FALSE)</f>
        <v>0942</v>
      </c>
    </row>
    <row r="815" spans="30:33">
      <c r="AD815" t="s">
        <v>3009</v>
      </c>
      <c r="AE815" t="s">
        <v>3010</v>
      </c>
      <c r="AF815" t="str">
        <f t="shared" si="73"/>
        <v>A679078</v>
      </c>
      <c r="AG815" t="str">
        <f>VLOOKUP(AF815,AKT!$C$4:$E$324,3,FALSE)</f>
        <v>0942</v>
      </c>
    </row>
    <row r="816" spans="30:33">
      <c r="AD816" t="s">
        <v>3011</v>
      </c>
      <c r="AE816" t="s">
        <v>3012</v>
      </c>
      <c r="AF816" t="str">
        <f t="shared" si="73"/>
        <v>A679078</v>
      </c>
      <c r="AG816" t="str">
        <f>VLOOKUP(AF816,AKT!$C$4:$E$324,3,FALSE)</f>
        <v>0942</v>
      </c>
    </row>
    <row r="817" spans="30:33">
      <c r="AD817" t="s">
        <v>3013</v>
      </c>
      <c r="AE817" t="s">
        <v>3014</v>
      </c>
      <c r="AF817" t="str">
        <f t="shared" si="73"/>
        <v>A679078</v>
      </c>
      <c r="AG817" t="str">
        <f>VLOOKUP(AF817,AKT!$C$4:$E$324,3,FALSE)</f>
        <v>0942</v>
      </c>
    </row>
    <row r="818" spans="30:33">
      <c r="AD818" t="s">
        <v>3015</v>
      </c>
      <c r="AE818" t="s">
        <v>3016</v>
      </c>
      <c r="AF818" t="str">
        <f t="shared" si="73"/>
        <v>A679078</v>
      </c>
      <c r="AG818" t="str">
        <f>VLOOKUP(AF818,AKT!$C$4:$E$324,3,FALSE)</f>
        <v>0942</v>
      </c>
    </row>
    <row r="819" spans="30:33">
      <c r="AD819" t="s">
        <v>3017</v>
      </c>
      <c r="AE819" t="s">
        <v>3018</v>
      </c>
      <c r="AF819" t="str">
        <f t="shared" si="73"/>
        <v>A679078</v>
      </c>
      <c r="AG819" t="str">
        <f>VLOOKUP(AF819,AKT!$C$4:$E$324,3,FALSE)</f>
        <v>0942</v>
      </c>
    </row>
    <row r="820" spans="30:33">
      <c r="AD820" t="s">
        <v>3019</v>
      </c>
      <c r="AE820" t="s">
        <v>3020</v>
      </c>
      <c r="AF820" t="str">
        <f t="shared" si="73"/>
        <v>A679078</v>
      </c>
      <c r="AG820" t="str">
        <f>VLOOKUP(AF820,AKT!$C$4:$E$324,3,FALSE)</f>
        <v>0942</v>
      </c>
    </row>
    <row r="821" spans="30:33">
      <c r="AD821" t="s">
        <v>3021</v>
      </c>
      <c r="AE821" t="s">
        <v>3022</v>
      </c>
      <c r="AF821" t="str">
        <f t="shared" si="73"/>
        <v>A679078</v>
      </c>
      <c r="AG821" t="str">
        <f>VLOOKUP(AF821,AKT!$C$4:$E$324,3,FALSE)</f>
        <v>0942</v>
      </c>
    </row>
    <row r="822" spans="30:33">
      <c r="AD822" t="s">
        <v>3023</v>
      </c>
      <c r="AE822" t="s">
        <v>3024</v>
      </c>
      <c r="AF822" t="str">
        <f t="shared" si="73"/>
        <v>A679078</v>
      </c>
      <c r="AG822" t="str">
        <f>VLOOKUP(AF822,AKT!$C$4:$E$324,3,FALSE)</f>
        <v>0942</v>
      </c>
    </row>
    <row r="823" spans="30:33">
      <c r="AD823" t="s">
        <v>3025</v>
      </c>
      <c r="AE823" t="s">
        <v>3026</v>
      </c>
      <c r="AF823" t="str">
        <f t="shared" si="73"/>
        <v>A679078</v>
      </c>
      <c r="AG823" t="str">
        <f>VLOOKUP(AF823,AKT!$C$4:$E$324,3,FALSE)</f>
        <v>0942</v>
      </c>
    </row>
    <row r="824" spans="30:33">
      <c r="AD824" t="s">
        <v>3027</v>
      </c>
      <c r="AE824" t="s">
        <v>3028</v>
      </c>
      <c r="AF824" t="str">
        <f t="shared" si="73"/>
        <v>A679078</v>
      </c>
      <c r="AG824" t="str">
        <f>VLOOKUP(AF824,AKT!$C$4:$E$324,3,FALSE)</f>
        <v>0942</v>
      </c>
    </row>
    <row r="825" spans="30:33">
      <c r="AD825" t="s">
        <v>3029</v>
      </c>
      <c r="AE825" t="s">
        <v>3030</v>
      </c>
      <c r="AF825" t="str">
        <f t="shared" si="73"/>
        <v>A679078</v>
      </c>
      <c r="AG825" t="str">
        <f>VLOOKUP(AF825,AKT!$C$4:$E$324,3,FALSE)</f>
        <v>0942</v>
      </c>
    </row>
    <row r="826" spans="30:33">
      <c r="AD826" t="s">
        <v>3031</v>
      </c>
      <c r="AE826" t="s">
        <v>3032</v>
      </c>
      <c r="AF826" t="str">
        <f t="shared" si="73"/>
        <v>A679078</v>
      </c>
      <c r="AG826" t="str">
        <f>VLOOKUP(AF826,AKT!$C$4:$E$324,3,FALSE)</f>
        <v>0942</v>
      </c>
    </row>
    <row r="827" spans="30:33">
      <c r="AD827" t="s">
        <v>3033</v>
      </c>
      <c r="AE827" t="s">
        <v>3034</v>
      </c>
      <c r="AF827" t="str">
        <f t="shared" si="73"/>
        <v>A679078</v>
      </c>
      <c r="AG827" t="str">
        <f>VLOOKUP(AF827,AKT!$C$4:$E$324,3,FALSE)</f>
        <v>0942</v>
      </c>
    </row>
    <row r="828" spans="30:33">
      <c r="AD828" t="s">
        <v>3035</v>
      </c>
      <c r="AE828" t="s">
        <v>3036</v>
      </c>
      <c r="AF828" t="str">
        <f t="shared" si="73"/>
        <v>A679078</v>
      </c>
      <c r="AG828" t="str">
        <f>VLOOKUP(AF828,AKT!$C$4:$E$324,3,FALSE)</f>
        <v>0942</v>
      </c>
    </row>
    <row r="829" spans="30:33">
      <c r="AD829" t="s">
        <v>3037</v>
      </c>
      <c r="AE829" t="s">
        <v>3038</v>
      </c>
      <c r="AF829" t="str">
        <f t="shared" si="73"/>
        <v>A679078</v>
      </c>
      <c r="AG829" t="str">
        <f>VLOOKUP(AF829,AKT!$C$4:$E$324,3,FALSE)</f>
        <v>0942</v>
      </c>
    </row>
    <row r="830" spans="30:33">
      <c r="AD830" t="s">
        <v>3039</v>
      </c>
      <c r="AE830" t="s">
        <v>3040</v>
      </c>
      <c r="AF830" t="str">
        <f t="shared" si="73"/>
        <v>A679078</v>
      </c>
      <c r="AG830" t="str">
        <f>VLOOKUP(AF830,AKT!$C$4:$E$324,3,FALSE)</f>
        <v>0942</v>
      </c>
    </row>
    <row r="831" spans="30:33">
      <c r="AD831" t="s">
        <v>3041</v>
      </c>
      <c r="AE831" t="s">
        <v>3042</v>
      </c>
      <c r="AF831" t="str">
        <f t="shared" si="73"/>
        <v>A679078</v>
      </c>
      <c r="AG831" t="str">
        <f>VLOOKUP(AF831,AKT!$C$4:$E$324,3,FALSE)</f>
        <v>0942</v>
      </c>
    </row>
    <row r="832" spans="30:33">
      <c r="AD832" t="s">
        <v>3043</v>
      </c>
      <c r="AE832" t="s">
        <v>2901</v>
      </c>
      <c r="AF832" t="str">
        <f t="shared" si="73"/>
        <v>A679078</v>
      </c>
      <c r="AG832" t="str">
        <f>VLOOKUP(AF832,AKT!$C$4:$E$324,3,FALSE)</f>
        <v>0942</v>
      </c>
    </row>
    <row r="833" spans="30:33">
      <c r="AD833" t="s">
        <v>3044</v>
      </c>
      <c r="AE833" t="s">
        <v>1943</v>
      </c>
      <c r="AF833" t="str">
        <f t="shared" si="73"/>
        <v>A679078</v>
      </c>
      <c r="AG833" t="str">
        <f>VLOOKUP(AF833,AKT!$C$4:$E$324,3,FALSE)</f>
        <v>0942</v>
      </c>
    </row>
    <row r="834" spans="30:33">
      <c r="AD834" t="s">
        <v>3045</v>
      </c>
      <c r="AE834" t="s">
        <v>3046</v>
      </c>
      <c r="AF834" t="str">
        <f t="shared" si="73"/>
        <v>A679078</v>
      </c>
      <c r="AG834" t="str">
        <f>VLOOKUP(AF834,AKT!$C$4:$E$324,3,FALSE)</f>
        <v>0942</v>
      </c>
    </row>
    <row r="835" spans="30:33">
      <c r="AD835" t="s">
        <v>3047</v>
      </c>
      <c r="AE835" t="s">
        <v>3048</v>
      </c>
      <c r="AF835" t="str">
        <f t="shared" ref="AF835:AF898" si="74">LEFT(AD835,7)</f>
        <v>A679078</v>
      </c>
      <c r="AG835" t="str">
        <f>VLOOKUP(AF835,AKT!$C$4:$E$324,3,FALSE)</f>
        <v>0942</v>
      </c>
    </row>
    <row r="836" spans="30:33">
      <c r="AD836" t="s">
        <v>3049</v>
      </c>
      <c r="AE836" t="s">
        <v>3050</v>
      </c>
      <c r="AF836" t="str">
        <f t="shared" si="74"/>
        <v>A679078</v>
      </c>
      <c r="AG836" t="str">
        <f>VLOOKUP(AF836,AKT!$C$4:$E$324,3,FALSE)</f>
        <v>0942</v>
      </c>
    </row>
    <row r="837" spans="30:33">
      <c r="AD837" t="s">
        <v>3051</v>
      </c>
      <c r="AE837" t="s">
        <v>3052</v>
      </c>
      <c r="AF837" t="str">
        <f t="shared" si="74"/>
        <v>A679078</v>
      </c>
      <c r="AG837" t="str">
        <f>VLOOKUP(AF837,AKT!$C$4:$E$324,3,FALSE)</f>
        <v>0942</v>
      </c>
    </row>
    <row r="838" spans="30:33">
      <c r="AD838" t="s">
        <v>3053</v>
      </c>
      <c r="AE838" t="s">
        <v>3054</v>
      </c>
      <c r="AF838" t="str">
        <f t="shared" si="74"/>
        <v>A679078</v>
      </c>
      <c r="AG838" t="str">
        <f>VLOOKUP(AF838,AKT!$C$4:$E$324,3,FALSE)</f>
        <v>0942</v>
      </c>
    </row>
    <row r="839" spans="30:33">
      <c r="AD839" t="s">
        <v>3055</v>
      </c>
      <c r="AE839" t="s">
        <v>3056</v>
      </c>
      <c r="AF839" t="str">
        <f t="shared" si="74"/>
        <v>A679078</v>
      </c>
      <c r="AG839" t="str">
        <f>VLOOKUP(AF839,AKT!$C$4:$E$324,3,FALSE)</f>
        <v>0942</v>
      </c>
    </row>
    <row r="840" spans="30:33">
      <c r="AD840" t="s">
        <v>3057</v>
      </c>
      <c r="AE840" t="s">
        <v>2574</v>
      </c>
      <c r="AF840" t="str">
        <f t="shared" si="74"/>
        <v>A679078</v>
      </c>
      <c r="AG840" t="str">
        <f>VLOOKUP(AF840,AKT!$C$4:$E$324,3,FALSE)</f>
        <v>0942</v>
      </c>
    </row>
    <row r="841" spans="30:33">
      <c r="AD841" t="s">
        <v>3058</v>
      </c>
      <c r="AE841" t="s">
        <v>3059</v>
      </c>
      <c r="AF841" t="str">
        <f t="shared" si="74"/>
        <v>A679078</v>
      </c>
      <c r="AG841" t="str">
        <f>VLOOKUP(AF841,AKT!$C$4:$E$324,3,FALSE)</f>
        <v>0942</v>
      </c>
    </row>
    <row r="842" spans="30:33">
      <c r="AD842" t="s">
        <v>3060</v>
      </c>
      <c r="AE842" t="s">
        <v>3061</v>
      </c>
      <c r="AF842" t="str">
        <f t="shared" si="74"/>
        <v>A679078</v>
      </c>
      <c r="AG842" t="str">
        <f>VLOOKUP(AF842,AKT!$C$4:$E$324,3,FALSE)</f>
        <v>0942</v>
      </c>
    </row>
    <row r="843" spans="30:33">
      <c r="AD843" t="s">
        <v>3062</v>
      </c>
      <c r="AE843" t="s">
        <v>3063</v>
      </c>
      <c r="AF843" t="str">
        <f t="shared" si="74"/>
        <v>A679078</v>
      </c>
      <c r="AG843" t="str">
        <f>VLOOKUP(AF843,AKT!$C$4:$E$324,3,FALSE)</f>
        <v>0942</v>
      </c>
    </row>
    <row r="844" spans="30:33">
      <c r="AD844" t="s">
        <v>3064</v>
      </c>
      <c r="AE844" t="s">
        <v>3065</v>
      </c>
      <c r="AF844" t="str">
        <f t="shared" si="74"/>
        <v>A679078</v>
      </c>
      <c r="AG844" t="str">
        <f>VLOOKUP(AF844,AKT!$C$4:$E$324,3,FALSE)</f>
        <v>0942</v>
      </c>
    </row>
    <row r="845" spans="30:33">
      <c r="AD845" t="s">
        <v>3066</v>
      </c>
      <c r="AE845" t="s">
        <v>3067</v>
      </c>
      <c r="AF845" t="str">
        <f t="shared" si="74"/>
        <v>A679078</v>
      </c>
      <c r="AG845" t="str">
        <f>VLOOKUP(AF845,AKT!$C$4:$E$324,3,FALSE)</f>
        <v>0942</v>
      </c>
    </row>
    <row r="846" spans="30:33">
      <c r="AD846" t="s">
        <v>3068</v>
      </c>
      <c r="AE846" t="s">
        <v>3069</v>
      </c>
      <c r="AF846" t="str">
        <f t="shared" si="74"/>
        <v>A679078</v>
      </c>
      <c r="AG846" t="str">
        <f>VLOOKUP(AF846,AKT!$C$4:$E$324,3,FALSE)</f>
        <v>0942</v>
      </c>
    </row>
    <row r="847" spans="30:33">
      <c r="AD847" t="s">
        <v>3070</v>
      </c>
      <c r="AE847" t="s">
        <v>3071</v>
      </c>
      <c r="AF847" t="str">
        <f t="shared" si="74"/>
        <v>A679078</v>
      </c>
      <c r="AG847" t="str">
        <f>VLOOKUP(AF847,AKT!$C$4:$E$324,3,FALSE)</f>
        <v>0942</v>
      </c>
    </row>
    <row r="848" spans="30:33">
      <c r="AD848" t="s">
        <v>3072</v>
      </c>
      <c r="AE848" t="s">
        <v>3073</v>
      </c>
      <c r="AF848" t="str">
        <f t="shared" si="74"/>
        <v>A679078</v>
      </c>
      <c r="AG848" t="str">
        <f>VLOOKUP(AF848,AKT!$C$4:$E$324,3,FALSE)</f>
        <v>0942</v>
      </c>
    </row>
    <row r="849" spans="30:33">
      <c r="AD849" t="s">
        <v>3074</v>
      </c>
      <c r="AE849" t="s">
        <v>3075</v>
      </c>
      <c r="AF849" t="str">
        <f t="shared" si="74"/>
        <v>A679078</v>
      </c>
      <c r="AG849" t="str">
        <f>VLOOKUP(AF849,AKT!$C$4:$E$324,3,FALSE)</f>
        <v>0942</v>
      </c>
    </row>
    <row r="850" spans="30:33">
      <c r="AD850" t="s">
        <v>3076</v>
      </c>
      <c r="AE850" t="s">
        <v>3077</v>
      </c>
      <c r="AF850" t="str">
        <f t="shared" si="74"/>
        <v>A679078</v>
      </c>
      <c r="AG850" t="str">
        <f>VLOOKUP(AF850,AKT!$C$4:$E$324,3,FALSE)</f>
        <v>0942</v>
      </c>
    </row>
    <row r="851" spans="30:33">
      <c r="AD851" t="s">
        <v>3078</v>
      </c>
      <c r="AE851" t="s">
        <v>3079</v>
      </c>
      <c r="AF851" t="str">
        <f t="shared" si="74"/>
        <v>A679078</v>
      </c>
      <c r="AG851" t="str">
        <f>VLOOKUP(AF851,AKT!$C$4:$E$324,3,FALSE)</f>
        <v>0942</v>
      </c>
    </row>
    <row r="852" spans="30:33">
      <c r="AD852" t="s">
        <v>3080</v>
      </c>
      <c r="AE852" t="s">
        <v>3081</v>
      </c>
      <c r="AF852" t="str">
        <f t="shared" si="74"/>
        <v>A679078</v>
      </c>
      <c r="AG852" t="str">
        <f>VLOOKUP(AF852,AKT!$C$4:$E$324,3,FALSE)</f>
        <v>0942</v>
      </c>
    </row>
    <row r="853" spans="30:33">
      <c r="AD853" t="s">
        <v>3082</v>
      </c>
      <c r="AE853" t="s">
        <v>3083</v>
      </c>
      <c r="AF853" t="str">
        <f t="shared" si="74"/>
        <v>A679078</v>
      </c>
      <c r="AG853" t="str">
        <f>VLOOKUP(AF853,AKT!$C$4:$E$324,3,FALSE)</f>
        <v>0942</v>
      </c>
    </row>
    <row r="854" spans="30:33">
      <c r="AD854" t="s">
        <v>3084</v>
      </c>
      <c r="AE854" t="s">
        <v>3085</v>
      </c>
      <c r="AF854" t="str">
        <f t="shared" si="74"/>
        <v>A679078</v>
      </c>
      <c r="AG854" t="str">
        <f>VLOOKUP(AF854,AKT!$C$4:$E$324,3,FALSE)</f>
        <v>0942</v>
      </c>
    </row>
    <row r="855" spans="30:33">
      <c r="AD855" t="s">
        <v>3086</v>
      </c>
      <c r="AE855" t="s">
        <v>3087</v>
      </c>
      <c r="AF855" t="str">
        <f t="shared" si="74"/>
        <v>A679078</v>
      </c>
      <c r="AG855" t="str">
        <f>VLOOKUP(AF855,AKT!$C$4:$E$324,3,FALSE)</f>
        <v>0942</v>
      </c>
    </row>
    <row r="856" spans="30:33">
      <c r="AD856" t="s">
        <v>1445</v>
      </c>
      <c r="AE856" t="s">
        <v>3088</v>
      </c>
      <c r="AF856" t="str">
        <f t="shared" si="74"/>
        <v>A679078</v>
      </c>
      <c r="AG856" t="str">
        <f>VLOOKUP(AF856,AKT!$C$4:$E$324,3,FALSE)</f>
        <v>0942</v>
      </c>
    </row>
    <row r="857" spans="30:33">
      <c r="AD857" t="s">
        <v>1456</v>
      </c>
      <c r="AE857" t="s">
        <v>3089</v>
      </c>
      <c r="AF857" t="str">
        <f t="shared" si="74"/>
        <v>A679078</v>
      </c>
      <c r="AG857" t="str">
        <f>VLOOKUP(AF857,AKT!$C$4:$E$324,3,FALSE)</f>
        <v>0942</v>
      </c>
    </row>
    <row r="858" spans="30:33">
      <c r="AD858" t="s">
        <v>3090</v>
      </c>
      <c r="AE858" t="s">
        <v>3091</v>
      </c>
      <c r="AF858" t="str">
        <f t="shared" si="74"/>
        <v>A679078</v>
      </c>
      <c r="AG858" t="str">
        <f>VLOOKUP(AF858,AKT!$C$4:$E$324,3,FALSE)</f>
        <v>0942</v>
      </c>
    </row>
    <row r="859" spans="30:33">
      <c r="AD859" t="s">
        <v>3092</v>
      </c>
      <c r="AE859" t="s">
        <v>3093</v>
      </c>
      <c r="AF859" t="str">
        <f t="shared" si="74"/>
        <v>A679078</v>
      </c>
      <c r="AG859" t="str">
        <f>VLOOKUP(AF859,AKT!$C$4:$E$324,3,FALSE)</f>
        <v>0942</v>
      </c>
    </row>
    <row r="860" spans="30:33">
      <c r="AD860" t="s">
        <v>3094</v>
      </c>
      <c r="AE860" t="s">
        <v>3095</v>
      </c>
      <c r="AF860" t="str">
        <f t="shared" si="74"/>
        <v>A679078</v>
      </c>
      <c r="AG860" t="str">
        <f>VLOOKUP(AF860,AKT!$C$4:$E$324,3,FALSE)</f>
        <v>0942</v>
      </c>
    </row>
    <row r="861" spans="30:33">
      <c r="AD861" t="s">
        <v>3096</v>
      </c>
      <c r="AE861" t="s">
        <v>3097</v>
      </c>
      <c r="AF861" t="str">
        <f t="shared" si="74"/>
        <v>A679078</v>
      </c>
      <c r="AG861" t="str">
        <f>VLOOKUP(AF861,AKT!$C$4:$E$324,3,FALSE)</f>
        <v>0942</v>
      </c>
    </row>
    <row r="862" spans="30:33">
      <c r="AD862" t="s">
        <v>3098</v>
      </c>
      <c r="AE862" t="s">
        <v>3099</v>
      </c>
      <c r="AF862" t="str">
        <f t="shared" si="74"/>
        <v>A679078</v>
      </c>
      <c r="AG862" t="str">
        <f>VLOOKUP(AF862,AKT!$C$4:$E$324,3,FALSE)</f>
        <v>0942</v>
      </c>
    </row>
    <row r="863" spans="30:33">
      <c r="AD863" t="s">
        <v>3100</v>
      </c>
      <c r="AE863" t="s">
        <v>3101</v>
      </c>
      <c r="AF863" t="str">
        <f t="shared" si="74"/>
        <v>A679078</v>
      </c>
      <c r="AG863" t="str">
        <f>VLOOKUP(AF863,AKT!$C$4:$E$324,3,FALSE)</f>
        <v>0942</v>
      </c>
    </row>
    <row r="864" spans="30:33">
      <c r="AD864" t="s">
        <v>3102</v>
      </c>
      <c r="AE864" t="s">
        <v>3103</v>
      </c>
      <c r="AF864" t="str">
        <f t="shared" si="74"/>
        <v>A679078</v>
      </c>
      <c r="AG864" t="str">
        <f>VLOOKUP(AF864,AKT!$C$4:$E$324,3,FALSE)</f>
        <v>0942</v>
      </c>
    </row>
    <row r="865" spans="30:33">
      <c r="AD865" t="s">
        <v>3104</v>
      </c>
      <c r="AE865" t="s">
        <v>3105</v>
      </c>
      <c r="AF865" t="str">
        <f t="shared" si="74"/>
        <v>A679078</v>
      </c>
      <c r="AG865" t="str">
        <f>VLOOKUP(AF865,AKT!$C$4:$E$324,3,FALSE)</f>
        <v>0942</v>
      </c>
    </row>
    <row r="866" spans="30:33">
      <c r="AD866" t="s">
        <v>3106</v>
      </c>
      <c r="AE866" t="s">
        <v>3107</v>
      </c>
      <c r="AF866" t="str">
        <f t="shared" si="74"/>
        <v>A679078</v>
      </c>
      <c r="AG866" t="str">
        <f>VLOOKUP(AF866,AKT!$C$4:$E$324,3,FALSE)</f>
        <v>0942</v>
      </c>
    </row>
    <row r="867" spans="30:33">
      <c r="AD867" t="s">
        <v>3108</v>
      </c>
      <c r="AE867" t="s">
        <v>3109</v>
      </c>
      <c r="AF867" t="str">
        <f t="shared" si="74"/>
        <v>A679078</v>
      </c>
      <c r="AG867" t="str">
        <f>VLOOKUP(AF867,AKT!$C$4:$E$324,3,FALSE)</f>
        <v>0942</v>
      </c>
    </row>
    <row r="868" spans="30:33">
      <c r="AD868" t="s">
        <v>3110</v>
      </c>
      <c r="AE868" t="s">
        <v>3111</v>
      </c>
      <c r="AF868" t="str">
        <f t="shared" si="74"/>
        <v>A679078</v>
      </c>
      <c r="AG868" t="str">
        <f>VLOOKUP(AF868,AKT!$C$4:$E$324,3,FALSE)</f>
        <v>0942</v>
      </c>
    </row>
    <row r="869" spans="30:33">
      <c r="AD869" t="s">
        <v>3112</v>
      </c>
      <c r="AE869" t="s">
        <v>3113</v>
      </c>
      <c r="AF869" t="str">
        <f t="shared" si="74"/>
        <v>A679078</v>
      </c>
      <c r="AG869" t="str">
        <f>VLOOKUP(AF869,AKT!$C$4:$E$324,3,FALSE)</f>
        <v>0942</v>
      </c>
    </row>
    <row r="870" spans="30:33">
      <c r="AD870" t="s">
        <v>3114</v>
      </c>
      <c r="AE870" t="s">
        <v>3115</v>
      </c>
      <c r="AF870" t="str">
        <f t="shared" si="74"/>
        <v>A679078</v>
      </c>
      <c r="AG870" t="str">
        <f>VLOOKUP(AF870,AKT!$C$4:$E$324,3,FALSE)</f>
        <v>0942</v>
      </c>
    </row>
    <row r="871" spans="30:33">
      <c r="AD871" t="s">
        <v>3116</v>
      </c>
      <c r="AE871" t="s">
        <v>3117</v>
      </c>
      <c r="AF871" t="str">
        <f t="shared" si="74"/>
        <v>A679078</v>
      </c>
      <c r="AG871" t="str">
        <f>VLOOKUP(AF871,AKT!$C$4:$E$324,3,FALSE)</f>
        <v>0942</v>
      </c>
    </row>
    <row r="872" spans="30:33">
      <c r="AD872" t="s">
        <v>3118</v>
      </c>
      <c r="AE872" t="s">
        <v>3119</v>
      </c>
      <c r="AF872" t="str">
        <f t="shared" si="74"/>
        <v>A679078</v>
      </c>
      <c r="AG872" t="str">
        <f>VLOOKUP(AF872,AKT!$C$4:$E$324,3,FALSE)</f>
        <v>0942</v>
      </c>
    </row>
    <row r="873" spans="30:33">
      <c r="AD873" t="s">
        <v>3120</v>
      </c>
      <c r="AE873" t="s">
        <v>3121</v>
      </c>
      <c r="AF873" t="str">
        <f t="shared" si="74"/>
        <v>A679078</v>
      </c>
      <c r="AG873" t="str">
        <f>VLOOKUP(AF873,AKT!$C$4:$E$324,3,FALSE)</f>
        <v>0942</v>
      </c>
    </row>
    <row r="874" spans="30:33">
      <c r="AD874" t="s">
        <v>3122</v>
      </c>
      <c r="AE874" t="s">
        <v>3123</v>
      </c>
      <c r="AF874" t="str">
        <f t="shared" si="74"/>
        <v>A679078</v>
      </c>
      <c r="AG874" t="str">
        <f>VLOOKUP(AF874,AKT!$C$4:$E$324,3,FALSE)</f>
        <v>0942</v>
      </c>
    </row>
    <row r="875" spans="30:33">
      <c r="AD875" t="s">
        <v>3124</v>
      </c>
      <c r="AE875" t="s">
        <v>3125</v>
      </c>
      <c r="AF875" t="str">
        <f t="shared" si="74"/>
        <v>A679078</v>
      </c>
      <c r="AG875" t="str">
        <f>VLOOKUP(AF875,AKT!$C$4:$E$324,3,FALSE)</f>
        <v>0942</v>
      </c>
    </row>
    <row r="876" spans="30:33">
      <c r="AD876" t="s">
        <v>3126</v>
      </c>
      <c r="AE876" t="s">
        <v>3127</v>
      </c>
      <c r="AF876" t="str">
        <f t="shared" si="74"/>
        <v>A679078</v>
      </c>
      <c r="AG876" t="str">
        <f>VLOOKUP(AF876,AKT!$C$4:$E$324,3,FALSE)</f>
        <v>0942</v>
      </c>
    </row>
    <row r="877" spans="30:33">
      <c r="AD877" t="s">
        <v>3128</v>
      </c>
      <c r="AE877" t="s">
        <v>3129</v>
      </c>
      <c r="AF877" t="str">
        <f t="shared" si="74"/>
        <v>A679078</v>
      </c>
      <c r="AG877" t="str">
        <f>VLOOKUP(AF877,AKT!$C$4:$E$324,3,FALSE)</f>
        <v>0942</v>
      </c>
    </row>
    <row r="878" spans="30:33">
      <c r="AD878" t="s">
        <v>3130</v>
      </c>
      <c r="AE878" t="s">
        <v>3131</v>
      </c>
      <c r="AF878" t="str">
        <f t="shared" si="74"/>
        <v>A679078</v>
      </c>
      <c r="AG878" t="str">
        <f>VLOOKUP(AF878,AKT!$C$4:$E$324,3,FALSE)</f>
        <v>0942</v>
      </c>
    </row>
    <row r="879" spans="30:33">
      <c r="AD879" t="s">
        <v>3132</v>
      </c>
      <c r="AE879" t="s">
        <v>3133</v>
      </c>
      <c r="AF879" t="str">
        <f t="shared" si="74"/>
        <v>A679078</v>
      </c>
      <c r="AG879" t="str">
        <f>VLOOKUP(AF879,AKT!$C$4:$E$324,3,FALSE)</f>
        <v>0942</v>
      </c>
    </row>
    <row r="880" spans="30:33">
      <c r="AD880" t="s">
        <v>3134</v>
      </c>
      <c r="AE880" t="s">
        <v>3135</v>
      </c>
      <c r="AF880" t="str">
        <f t="shared" si="74"/>
        <v>A679078</v>
      </c>
      <c r="AG880" t="str">
        <f>VLOOKUP(AF880,AKT!$C$4:$E$324,3,FALSE)</f>
        <v>0942</v>
      </c>
    </row>
    <row r="881" spans="30:33">
      <c r="AD881" t="s">
        <v>3136</v>
      </c>
      <c r="AE881" t="s">
        <v>3137</v>
      </c>
      <c r="AF881" t="str">
        <f t="shared" si="74"/>
        <v>A679078</v>
      </c>
      <c r="AG881" t="str">
        <f>VLOOKUP(AF881,AKT!$C$4:$E$324,3,FALSE)</f>
        <v>0942</v>
      </c>
    </row>
    <row r="882" spans="30:33">
      <c r="AD882" t="s">
        <v>3138</v>
      </c>
      <c r="AE882" t="s">
        <v>3139</v>
      </c>
      <c r="AF882" t="str">
        <f t="shared" si="74"/>
        <v>A679078</v>
      </c>
      <c r="AG882" t="str">
        <f>VLOOKUP(AF882,AKT!$C$4:$E$324,3,FALSE)</f>
        <v>0942</v>
      </c>
    </row>
    <row r="883" spans="30:33">
      <c r="AD883" t="s">
        <v>3140</v>
      </c>
      <c r="AE883" t="s">
        <v>3141</v>
      </c>
      <c r="AF883" t="str">
        <f t="shared" si="74"/>
        <v>A679078</v>
      </c>
      <c r="AG883" t="str">
        <f>VLOOKUP(AF883,AKT!$C$4:$E$324,3,FALSE)</f>
        <v>0942</v>
      </c>
    </row>
    <row r="884" spans="30:33">
      <c r="AD884" t="s">
        <v>3142</v>
      </c>
      <c r="AE884" t="s">
        <v>3143</v>
      </c>
      <c r="AF884" t="str">
        <f t="shared" si="74"/>
        <v>A679078</v>
      </c>
      <c r="AG884" t="str">
        <f>VLOOKUP(AF884,AKT!$C$4:$E$324,3,FALSE)</f>
        <v>0942</v>
      </c>
    </row>
    <row r="885" spans="30:33">
      <c r="AD885" t="s">
        <v>3144</v>
      </c>
      <c r="AE885" t="s">
        <v>3145</v>
      </c>
      <c r="AF885" t="str">
        <f t="shared" si="74"/>
        <v>A679078</v>
      </c>
      <c r="AG885" t="str">
        <f>VLOOKUP(AF885,AKT!$C$4:$E$324,3,FALSE)</f>
        <v>0942</v>
      </c>
    </row>
    <row r="886" spans="30:33">
      <c r="AD886" t="s">
        <v>3146</v>
      </c>
      <c r="AE886" t="s">
        <v>3147</v>
      </c>
      <c r="AF886" t="str">
        <f t="shared" si="74"/>
        <v>A679078</v>
      </c>
      <c r="AG886" t="str">
        <f>VLOOKUP(AF886,AKT!$C$4:$E$324,3,FALSE)</f>
        <v>0942</v>
      </c>
    </row>
    <row r="887" spans="30:33">
      <c r="AD887" t="s">
        <v>3148</v>
      </c>
      <c r="AE887" t="s">
        <v>3149</v>
      </c>
      <c r="AF887" t="str">
        <f t="shared" si="74"/>
        <v>A679078</v>
      </c>
      <c r="AG887" t="str">
        <f>VLOOKUP(AF887,AKT!$C$4:$E$324,3,FALSE)</f>
        <v>0942</v>
      </c>
    </row>
    <row r="888" spans="30:33">
      <c r="AD888" t="s">
        <v>3150</v>
      </c>
      <c r="AE888" t="s">
        <v>3151</v>
      </c>
      <c r="AF888" t="str">
        <f t="shared" si="74"/>
        <v>A679078</v>
      </c>
      <c r="AG888" t="str">
        <f>VLOOKUP(AF888,AKT!$C$4:$E$324,3,FALSE)</f>
        <v>0942</v>
      </c>
    </row>
    <row r="889" spans="30:33">
      <c r="AD889" t="s">
        <v>3152</v>
      </c>
      <c r="AE889" t="s">
        <v>3153</v>
      </c>
      <c r="AF889" t="str">
        <f t="shared" si="74"/>
        <v>A679078</v>
      </c>
      <c r="AG889" t="str">
        <f>VLOOKUP(AF889,AKT!$C$4:$E$324,3,FALSE)</f>
        <v>0942</v>
      </c>
    </row>
    <row r="890" spans="30:33">
      <c r="AD890" t="s">
        <v>3154</v>
      </c>
      <c r="AE890" t="s">
        <v>3155</v>
      </c>
      <c r="AF890" t="str">
        <f t="shared" si="74"/>
        <v>A679078</v>
      </c>
      <c r="AG890" t="str">
        <f>VLOOKUP(AF890,AKT!$C$4:$E$324,3,FALSE)</f>
        <v>0942</v>
      </c>
    </row>
    <row r="891" spans="30:33">
      <c r="AD891" t="s">
        <v>3156</v>
      </c>
      <c r="AE891" t="s">
        <v>3157</v>
      </c>
      <c r="AF891" t="str">
        <f t="shared" si="74"/>
        <v>A679078</v>
      </c>
      <c r="AG891" t="str">
        <f>VLOOKUP(AF891,AKT!$C$4:$E$324,3,FALSE)</f>
        <v>0942</v>
      </c>
    </row>
    <row r="892" spans="30:33">
      <c r="AD892" t="s">
        <v>3158</v>
      </c>
      <c r="AE892" t="s">
        <v>3159</v>
      </c>
      <c r="AF892" t="str">
        <f t="shared" si="74"/>
        <v>A679078</v>
      </c>
      <c r="AG892" t="str">
        <f>VLOOKUP(AF892,AKT!$C$4:$E$324,3,FALSE)</f>
        <v>0942</v>
      </c>
    </row>
    <row r="893" spans="30:33">
      <c r="AD893" t="s">
        <v>3160</v>
      </c>
      <c r="AE893" t="s">
        <v>3161</v>
      </c>
      <c r="AF893" t="str">
        <f t="shared" si="74"/>
        <v>A679078</v>
      </c>
      <c r="AG893" t="str">
        <f>VLOOKUP(AF893,AKT!$C$4:$E$324,3,FALSE)</f>
        <v>0942</v>
      </c>
    </row>
    <row r="894" spans="30:33">
      <c r="AD894" t="s">
        <v>3162</v>
      </c>
      <c r="AE894" t="s">
        <v>3163</v>
      </c>
      <c r="AF894" t="str">
        <f t="shared" si="74"/>
        <v>A679078</v>
      </c>
      <c r="AG894" t="str">
        <f>VLOOKUP(AF894,AKT!$C$4:$E$324,3,FALSE)</f>
        <v>0942</v>
      </c>
    </row>
    <row r="895" spans="30:33">
      <c r="AD895" t="s">
        <v>3164</v>
      </c>
      <c r="AE895" t="s">
        <v>3165</v>
      </c>
      <c r="AF895" t="str">
        <f t="shared" si="74"/>
        <v>A679078</v>
      </c>
      <c r="AG895" t="str">
        <f>VLOOKUP(AF895,AKT!$C$4:$E$324,3,FALSE)</f>
        <v>0942</v>
      </c>
    </row>
    <row r="896" spans="30:33">
      <c r="AD896" t="s">
        <v>3166</v>
      </c>
      <c r="AE896" t="s">
        <v>3167</v>
      </c>
      <c r="AF896" t="str">
        <f t="shared" si="74"/>
        <v>A679078</v>
      </c>
      <c r="AG896" t="str">
        <f>VLOOKUP(AF896,AKT!$C$4:$E$324,3,FALSE)</f>
        <v>0942</v>
      </c>
    </row>
    <row r="897" spans="30:33">
      <c r="AD897" t="s">
        <v>3168</v>
      </c>
      <c r="AE897" t="s">
        <v>1611</v>
      </c>
      <c r="AF897" t="str">
        <f t="shared" si="74"/>
        <v>A679078</v>
      </c>
      <c r="AG897" t="str">
        <f>VLOOKUP(AF897,AKT!$C$4:$E$324,3,FALSE)</f>
        <v>0942</v>
      </c>
    </row>
    <row r="898" spans="30:33">
      <c r="AD898" t="s">
        <v>3169</v>
      </c>
      <c r="AE898" t="s">
        <v>1530</v>
      </c>
      <c r="AF898" t="str">
        <f t="shared" si="74"/>
        <v>A679078</v>
      </c>
      <c r="AG898" t="str">
        <f>VLOOKUP(AF898,AKT!$C$4:$E$324,3,FALSE)</f>
        <v>0942</v>
      </c>
    </row>
    <row r="899" spans="30:33">
      <c r="AD899" t="s">
        <v>3170</v>
      </c>
      <c r="AE899" t="s">
        <v>3171</v>
      </c>
      <c r="AF899" t="str">
        <f t="shared" ref="AF899:AF962" si="75">LEFT(AD899,7)</f>
        <v>A679078</v>
      </c>
      <c r="AG899" t="str">
        <f>VLOOKUP(AF899,AKT!$C$4:$E$324,3,FALSE)</f>
        <v>0942</v>
      </c>
    </row>
    <row r="900" spans="30:33">
      <c r="AD900" t="s">
        <v>3172</v>
      </c>
      <c r="AE900" t="s">
        <v>3173</v>
      </c>
      <c r="AF900" t="str">
        <f t="shared" si="75"/>
        <v>A679078</v>
      </c>
      <c r="AG900" t="str">
        <f>VLOOKUP(AF900,AKT!$C$4:$E$324,3,FALSE)</f>
        <v>0942</v>
      </c>
    </row>
    <row r="901" spans="30:33">
      <c r="AD901" t="s">
        <v>3174</v>
      </c>
      <c r="AE901" t="s">
        <v>1401</v>
      </c>
      <c r="AF901" t="str">
        <f t="shared" si="75"/>
        <v>A679078</v>
      </c>
      <c r="AG901" t="str">
        <f>VLOOKUP(AF901,AKT!$C$4:$E$324,3,FALSE)</f>
        <v>0942</v>
      </c>
    </row>
    <row r="902" spans="30:33">
      <c r="AD902" t="s">
        <v>3175</v>
      </c>
      <c r="AE902" t="s">
        <v>1494</v>
      </c>
      <c r="AF902" t="str">
        <f t="shared" si="75"/>
        <v>A679078</v>
      </c>
      <c r="AG902" t="str">
        <f>VLOOKUP(AF902,AKT!$C$4:$E$324,3,FALSE)</f>
        <v>0942</v>
      </c>
    </row>
    <row r="903" spans="30:33">
      <c r="AD903" t="s">
        <v>3176</v>
      </c>
      <c r="AE903" t="s">
        <v>3177</v>
      </c>
      <c r="AF903" t="str">
        <f t="shared" si="75"/>
        <v>A679078</v>
      </c>
      <c r="AG903" t="str">
        <f>VLOOKUP(AF903,AKT!$C$4:$E$324,3,FALSE)</f>
        <v>0942</v>
      </c>
    </row>
    <row r="904" spans="30:33">
      <c r="AD904" t="s">
        <v>3178</v>
      </c>
      <c r="AE904" t="s">
        <v>3179</v>
      </c>
      <c r="AF904" t="str">
        <f t="shared" si="75"/>
        <v>A679078</v>
      </c>
      <c r="AG904" t="str">
        <f>VLOOKUP(AF904,AKT!$C$4:$E$324,3,FALSE)</f>
        <v>0942</v>
      </c>
    </row>
    <row r="905" spans="30:33">
      <c r="AD905" t="s">
        <v>3180</v>
      </c>
      <c r="AE905" t="s">
        <v>3181</v>
      </c>
      <c r="AF905" t="str">
        <f t="shared" si="75"/>
        <v>A679081</v>
      </c>
      <c r="AG905" t="str">
        <f>VLOOKUP(AF905,AKT!$C$4:$E$324,3,FALSE)</f>
        <v>0942</v>
      </c>
    </row>
    <row r="906" spans="30:33">
      <c r="AD906" t="s">
        <v>3182</v>
      </c>
      <c r="AE906" t="s">
        <v>3183</v>
      </c>
      <c r="AF906" t="str">
        <f t="shared" si="75"/>
        <v>A679081</v>
      </c>
      <c r="AG906" t="str">
        <f>VLOOKUP(AF906,AKT!$C$4:$E$324,3,FALSE)</f>
        <v>0942</v>
      </c>
    </row>
    <row r="907" spans="30:33">
      <c r="AD907" t="s">
        <v>3184</v>
      </c>
      <c r="AE907" t="s">
        <v>3185</v>
      </c>
      <c r="AF907" t="str">
        <f t="shared" si="75"/>
        <v>A679081</v>
      </c>
      <c r="AG907" t="str">
        <f>VLOOKUP(AF907,AKT!$C$4:$E$324,3,FALSE)</f>
        <v>0942</v>
      </c>
    </row>
    <row r="908" spans="30:33">
      <c r="AD908" t="s">
        <v>3186</v>
      </c>
      <c r="AE908" t="s">
        <v>3187</v>
      </c>
      <c r="AF908" t="str">
        <f t="shared" si="75"/>
        <v>A679081</v>
      </c>
      <c r="AG908" t="str">
        <f>VLOOKUP(AF908,AKT!$C$4:$E$324,3,FALSE)</f>
        <v>0942</v>
      </c>
    </row>
    <row r="909" spans="30:33">
      <c r="AD909" t="s">
        <v>3188</v>
      </c>
      <c r="AE909" t="s">
        <v>3189</v>
      </c>
      <c r="AF909" t="str">
        <f t="shared" si="75"/>
        <v>A679081</v>
      </c>
      <c r="AG909" t="str">
        <f>VLOOKUP(AF909,AKT!$C$4:$E$324,3,FALSE)</f>
        <v>0942</v>
      </c>
    </row>
    <row r="910" spans="30:33">
      <c r="AD910" t="s">
        <v>3190</v>
      </c>
      <c r="AE910" t="s">
        <v>3191</v>
      </c>
      <c r="AF910" t="str">
        <f t="shared" si="75"/>
        <v>A679081</v>
      </c>
      <c r="AG910" t="str">
        <f>VLOOKUP(AF910,AKT!$C$4:$E$324,3,FALSE)</f>
        <v>0942</v>
      </c>
    </row>
    <row r="911" spans="30:33">
      <c r="AD911" t="s">
        <v>3192</v>
      </c>
      <c r="AE911" t="s">
        <v>3028</v>
      </c>
      <c r="AF911" t="str">
        <f t="shared" si="75"/>
        <v>A679081</v>
      </c>
      <c r="AG911" t="str">
        <f>VLOOKUP(AF911,AKT!$C$4:$E$324,3,FALSE)</f>
        <v>0942</v>
      </c>
    </row>
    <row r="912" spans="30:33">
      <c r="AD912" t="s">
        <v>3193</v>
      </c>
      <c r="AE912" t="s">
        <v>3194</v>
      </c>
      <c r="AF912" t="str">
        <f t="shared" si="75"/>
        <v>A679081</v>
      </c>
      <c r="AG912" t="str">
        <f>VLOOKUP(AF912,AKT!$C$4:$E$324,3,FALSE)</f>
        <v>0942</v>
      </c>
    </row>
    <row r="913" spans="30:33">
      <c r="AD913" t="s">
        <v>3195</v>
      </c>
      <c r="AE913" t="s">
        <v>3196</v>
      </c>
      <c r="AF913" t="str">
        <f t="shared" si="75"/>
        <v>A679081</v>
      </c>
      <c r="AG913" t="str">
        <f>VLOOKUP(AF913,AKT!$C$4:$E$324,3,FALSE)</f>
        <v>0942</v>
      </c>
    </row>
    <row r="914" spans="30:33">
      <c r="AD914" t="s">
        <v>3197</v>
      </c>
      <c r="AE914" t="s">
        <v>3198</v>
      </c>
      <c r="AF914" t="str">
        <f t="shared" si="75"/>
        <v>A679081</v>
      </c>
      <c r="AG914" t="str">
        <f>VLOOKUP(AF914,AKT!$C$4:$E$324,3,FALSE)</f>
        <v>0942</v>
      </c>
    </row>
    <row r="915" spans="30:33">
      <c r="AD915" t="s">
        <v>3199</v>
      </c>
      <c r="AE915" t="s">
        <v>3200</v>
      </c>
      <c r="AF915" t="str">
        <f t="shared" si="75"/>
        <v>A679081</v>
      </c>
      <c r="AG915" t="str">
        <f>VLOOKUP(AF915,AKT!$C$4:$E$324,3,FALSE)</f>
        <v>0942</v>
      </c>
    </row>
    <row r="916" spans="30:33">
      <c r="AD916" t="s">
        <v>3201</v>
      </c>
      <c r="AE916" t="s">
        <v>3202</v>
      </c>
      <c r="AF916" t="str">
        <f t="shared" si="75"/>
        <v>A679115</v>
      </c>
      <c r="AG916" t="str">
        <f>VLOOKUP(AF916,AKT!$C$4:$E$324,3,FALSE)</f>
        <v>0942</v>
      </c>
    </row>
    <row r="917" spans="30:33">
      <c r="AD917" t="s">
        <v>3203</v>
      </c>
      <c r="AE917" t="s">
        <v>3204</v>
      </c>
      <c r="AF917" t="str">
        <f t="shared" si="75"/>
        <v>A679115</v>
      </c>
      <c r="AG917" t="str">
        <f>VLOOKUP(AF917,AKT!$C$4:$E$324,3,FALSE)</f>
        <v>0942</v>
      </c>
    </row>
    <row r="918" spans="30:33">
      <c r="AD918" t="s">
        <v>3205</v>
      </c>
      <c r="AE918" t="s">
        <v>3206</v>
      </c>
      <c r="AF918" t="str">
        <f t="shared" si="75"/>
        <v>A679115</v>
      </c>
      <c r="AG918" t="str">
        <f>VLOOKUP(AF918,AKT!$C$4:$E$324,3,FALSE)</f>
        <v>0942</v>
      </c>
    </row>
    <row r="919" spans="30:33">
      <c r="AD919" t="s">
        <v>3207</v>
      </c>
      <c r="AE919" t="s">
        <v>3208</v>
      </c>
      <c r="AF919" t="str">
        <f t="shared" si="75"/>
        <v>A679115</v>
      </c>
      <c r="AG919" t="str">
        <f>VLOOKUP(AF919,AKT!$C$4:$E$324,3,FALSE)</f>
        <v>0942</v>
      </c>
    </row>
    <row r="920" spans="30:33">
      <c r="AD920" t="s">
        <v>3209</v>
      </c>
      <c r="AE920" t="s">
        <v>3210</v>
      </c>
      <c r="AF920" t="str">
        <f t="shared" si="75"/>
        <v>A679115</v>
      </c>
      <c r="AG920" t="str">
        <f>VLOOKUP(AF920,AKT!$C$4:$E$324,3,FALSE)</f>
        <v>0942</v>
      </c>
    </row>
    <row r="921" spans="30:33">
      <c r="AD921" t="s">
        <v>3211</v>
      </c>
      <c r="AE921" t="s">
        <v>3212</v>
      </c>
      <c r="AF921" t="str">
        <f t="shared" si="75"/>
        <v>A679115</v>
      </c>
      <c r="AG921" t="str">
        <f>VLOOKUP(AF921,AKT!$C$4:$E$324,3,FALSE)</f>
        <v>0942</v>
      </c>
    </row>
    <row r="922" spans="30:33">
      <c r="AD922" t="s">
        <v>3213</v>
      </c>
      <c r="AE922" t="s">
        <v>3214</v>
      </c>
      <c r="AF922" t="str">
        <f t="shared" si="75"/>
        <v>A679115</v>
      </c>
      <c r="AG922" t="str">
        <f>VLOOKUP(AF922,AKT!$C$4:$E$324,3,FALSE)</f>
        <v>0942</v>
      </c>
    </row>
    <row r="923" spans="30:33">
      <c r="AD923" t="s">
        <v>3215</v>
      </c>
      <c r="AE923" t="s">
        <v>3216</v>
      </c>
      <c r="AF923" t="str">
        <f t="shared" si="75"/>
        <v>A679115</v>
      </c>
      <c r="AG923" t="str">
        <f>VLOOKUP(AF923,AKT!$C$4:$E$324,3,FALSE)</f>
        <v>0942</v>
      </c>
    </row>
    <row r="924" spans="30:33">
      <c r="AD924" t="s">
        <v>3217</v>
      </c>
      <c r="AE924" t="s">
        <v>3218</v>
      </c>
      <c r="AF924" t="str">
        <f t="shared" si="75"/>
        <v>K679084</v>
      </c>
      <c r="AG924" t="str">
        <f>VLOOKUP(AF924,AKT!$C$4:$E$324,3,FALSE)</f>
        <v>0942</v>
      </c>
    </row>
    <row r="925" spans="30:33">
      <c r="AD925" t="s">
        <v>3219</v>
      </c>
      <c r="AE925" t="s">
        <v>1409</v>
      </c>
      <c r="AF925" t="str">
        <f t="shared" si="75"/>
        <v>K679084</v>
      </c>
      <c r="AG925" t="str">
        <f>VLOOKUP(AF925,AKT!$C$4:$E$324,3,FALSE)</f>
        <v>0942</v>
      </c>
    </row>
    <row r="926" spans="30:33">
      <c r="AD926" t="s">
        <v>3220</v>
      </c>
      <c r="AE926" t="s">
        <v>3221</v>
      </c>
      <c r="AF926" t="str">
        <f t="shared" si="75"/>
        <v>K679084</v>
      </c>
      <c r="AG926" t="str">
        <f>VLOOKUP(AF926,AKT!$C$4:$E$324,3,FALSE)</f>
        <v>0942</v>
      </c>
    </row>
    <row r="927" spans="30:33">
      <c r="AD927" t="s">
        <v>3222</v>
      </c>
      <c r="AE927" t="s">
        <v>3223</v>
      </c>
      <c r="AF927" t="str">
        <f t="shared" si="75"/>
        <v>K679084</v>
      </c>
      <c r="AG927" t="str">
        <f>VLOOKUP(AF927,AKT!$C$4:$E$324,3,FALSE)</f>
        <v>0942</v>
      </c>
    </row>
    <row r="928" spans="30:33">
      <c r="AD928" t="s">
        <v>3224</v>
      </c>
      <c r="AE928" t="s">
        <v>1403</v>
      </c>
      <c r="AF928" t="str">
        <f t="shared" si="75"/>
        <v>K679084</v>
      </c>
      <c r="AG928" t="str">
        <f>VLOOKUP(AF928,AKT!$C$4:$E$324,3,FALSE)</f>
        <v>0942</v>
      </c>
    </row>
    <row r="929" spans="30:33">
      <c r="AD929" t="s">
        <v>3225</v>
      </c>
      <c r="AE929" t="s">
        <v>3173</v>
      </c>
      <c r="AF929" t="str">
        <f t="shared" si="75"/>
        <v>K679084</v>
      </c>
      <c r="AG929" t="str">
        <f>VLOOKUP(AF929,AKT!$C$4:$E$324,3,FALSE)</f>
        <v>0942</v>
      </c>
    </row>
    <row r="930" spans="30:33">
      <c r="AD930" t="s">
        <v>3226</v>
      </c>
      <c r="AE930" t="s">
        <v>1414</v>
      </c>
      <c r="AF930" t="str">
        <f t="shared" si="75"/>
        <v>K679084</v>
      </c>
      <c r="AG930" t="str">
        <f>VLOOKUP(AF930,AKT!$C$4:$E$324,3,FALSE)</f>
        <v>0942</v>
      </c>
    </row>
    <row r="931" spans="30:33">
      <c r="AD931" t="s">
        <v>3227</v>
      </c>
      <c r="AE931" t="s">
        <v>1430</v>
      </c>
      <c r="AF931" t="str">
        <f t="shared" si="75"/>
        <v>K679106</v>
      </c>
      <c r="AG931" t="str">
        <f>VLOOKUP(AF931,AKT!$C$4:$E$324,3,FALSE)</f>
        <v>0942</v>
      </c>
    </row>
    <row r="932" spans="30:33">
      <c r="AD932" t="s">
        <v>3228</v>
      </c>
      <c r="AE932" t="s">
        <v>1432</v>
      </c>
      <c r="AF932" t="str">
        <f t="shared" si="75"/>
        <v>K679106</v>
      </c>
      <c r="AG932" t="str">
        <f>VLOOKUP(AF932,AKT!$C$4:$E$324,3,FALSE)</f>
        <v>0942</v>
      </c>
    </row>
    <row r="933" spans="30:33">
      <c r="AD933" t="s">
        <v>3229</v>
      </c>
      <c r="AE933" t="s">
        <v>1434</v>
      </c>
      <c r="AF933" t="str">
        <f t="shared" si="75"/>
        <v>K679106</v>
      </c>
      <c r="AG933" t="str">
        <f>VLOOKUP(AF933,AKT!$C$4:$E$324,3,FALSE)</f>
        <v>0942</v>
      </c>
    </row>
    <row r="934" spans="30:33">
      <c r="AD934" t="s">
        <v>3230</v>
      </c>
      <c r="AE934" t="s">
        <v>3231</v>
      </c>
      <c r="AF934" t="str">
        <f t="shared" si="75"/>
        <v>K679106</v>
      </c>
      <c r="AG934" t="str">
        <f>VLOOKUP(AF934,AKT!$C$4:$E$324,3,FALSE)</f>
        <v>0942</v>
      </c>
    </row>
    <row r="935" spans="30:33">
      <c r="AD935" t="s">
        <v>3232</v>
      </c>
      <c r="AE935" t="s">
        <v>3233</v>
      </c>
      <c r="AF935" t="str">
        <f t="shared" si="75"/>
        <v>K679106</v>
      </c>
      <c r="AG935" t="str">
        <f>VLOOKUP(AF935,AKT!$C$4:$E$324,3,FALSE)</f>
        <v>0942</v>
      </c>
    </row>
    <row r="936" spans="30:33">
      <c r="AD936" t="s">
        <v>3234</v>
      </c>
      <c r="AE936" t="s">
        <v>3235</v>
      </c>
      <c r="AF936" t="str">
        <f>LEFT(AD936,7)</f>
        <v>K679111</v>
      </c>
      <c r="AG936" t="str">
        <f>IFERROR(VLOOKUP(AF936,AKT!$C$4:$E$324,3,FALSE),"0942")</f>
        <v>0942</v>
      </c>
    </row>
    <row r="937" spans="30:33">
      <c r="AD937" t="s">
        <v>3236</v>
      </c>
      <c r="AE937" t="s">
        <v>3237</v>
      </c>
      <c r="AF937" t="str">
        <f t="shared" si="75"/>
        <v>A622125</v>
      </c>
      <c r="AG937" t="str">
        <f>VLOOKUP(AF937,AKT!$C$4:$E$324,3,FALSE)</f>
        <v>0150</v>
      </c>
    </row>
    <row r="938" spans="30:33">
      <c r="AD938" t="s">
        <v>3238</v>
      </c>
      <c r="AE938" t="s">
        <v>3237</v>
      </c>
      <c r="AF938" t="str">
        <f t="shared" si="75"/>
        <v>A622125</v>
      </c>
      <c r="AG938" t="str">
        <f>VLOOKUP(AF938,AKT!$C$4:$E$324,3,FALSE)</f>
        <v>0150</v>
      </c>
    </row>
    <row r="939" spans="30:33">
      <c r="AD939" t="s">
        <v>3239</v>
      </c>
      <c r="AE939" t="s">
        <v>3240</v>
      </c>
      <c r="AF939" t="str">
        <f t="shared" si="75"/>
        <v>A622125</v>
      </c>
      <c r="AG939" t="str">
        <f>VLOOKUP(AF939,AKT!$C$4:$E$324,3,FALSE)</f>
        <v>0150</v>
      </c>
    </row>
    <row r="940" spans="30:33">
      <c r="AD940" t="s">
        <v>3241</v>
      </c>
      <c r="AE940" t="s">
        <v>3242</v>
      </c>
      <c r="AF940" t="str">
        <f t="shared" si="75"/>
        <v>A622125</v>
      </c>
      <c r="AG940" t="str">
        <f>VLOOKUP(AF940,AKT!$C$4:$E$324,3,FALSE)</f>
        <v>0150</v>
      </c>
    </row>
    <row r="941" spans="30:33">
      <c r="AD941" t="s">
        <v>3243</v>
      </c>
      <c r="AE941" t="s">
        <v>3244</v>
      </c>
      <c r="AF941" t="str">
        <f t="shared" si="75"/>
        <v>A622125</v>
      </c>
      <c r="AG941" t="str">
        <f>VLOOKUP(AF941,AKT!$C$4:$E$324,3,FALSE)</f>
        <v>0150</v>
      </c>
    </row>
    <row r="942" spans="30:33">
      <c r="AD942" t="s">
        <v>3245</v>
      </c>
      <c r="AE942" t="s">
        <v>3246</v>
      </c>
      <c r="AF942" t="str">
        <f t="shared" si="75"/>
        <v>A622125</v>
      </c>
      <c r="AG942" t="str">
        <f>VLOOKUP(AF942,AKT!$C$4:$E$324,3,FALSE)</f>
        <v>0150</v>
      </c>
    </row>
    <row r="943" spans="30:33">
      <c r="AD943" t="s">
        <v>3247</v>
      </c>
      <c r="AE943" t="s">
        <v>3248</v>
      </c>
      <c r="AF943" t="str">
        <f t="shared" si="75"/>
        <v>A622125</v>
      </c>
      <c r="AG943" t="str">
        <f>VLOOKUP(AF943,AKT!$C$4:$E$324,3,FALSE)</f>
        <v>0150</v>
      </c>
    </row>
    <row r="944" spans="30:33">
      <c r="AD944" t="s">
        <v>3249</v>
      </c>
      <c r="AE944" t="s">
        <v>3250</v>
      </c>
      <c r="AF944" t="str">
        <f t="shared" si="75"/>
        <v>A622125</v>
      </c>
      <c r="AG944" t="str">
        <f>VLOOKUP(AF944,AKT!$C$4:$E$324,3,FALSE)</f>
        <v>0150</v>
      </c>
    </row>
    <row r="945" spans="30:33">
      <c r="AD945" t="s">
        <v>3251</v>
      </c>
      <c r="AE945" t="s">
        <v>3252</v>
      </c>
      <c r="AF945" t="str">
        <f t="shared" si="75"/>
        <v>A622125</v>
      </c>
      <c r="AG945" t="str">
        <f>VLOOKUP(AF945,AKT!$C$4:$E$324,3,FALSE)</f>
        <v>0150</v>
      </c>
    </row>
    <row r="946" spans="30:33">
      <c r="AD946" t="s">
        <v>3253</v>
      </c>
      <c r="AE946" t="s">
        <v>3254</v>
      </c>
      <c r="AF946" t="str">
        <f t="shared" si="75"/>
        <v>A622125</v>
      </c>
      <c r="AG946" t="str">
        <f>VLOOKUP(AF946,AKT!$C$4:$E$324,3,FALSE)</f>
        <v>0150</v>
      </c>
    </row>
    <row r="947" spans="30:33">
      <c r="AD947" t="s">
        <v>3255</v>
      </c>
      <c r="AE947" t="s">
        <v>3256</v>
      </c>
      <c r="AF947" t="str">
        <f t="shared" si="75"/>
        <v>A622125</v>
      </c>
      <c r="AG947" t="str">
        <f>VLOOKUP(AF947,AKT!$C$4:$E$324,3,FALSE)</f>
        <v>0150</v>
      </c>
    </row>
    <row r="948" spans="30:33">
      <c r="AD948" t="s">
        <v>3257</v>
      </c>
      <c r="AE948" t="s">
        <v>3258</v>
      </c>
      <c r="AF948" t="str">
        <f t="shared" si="75"/>
        <v>A622125</v>
      </c>
      <c r="AG948" t="str">
        <f>VLOOKUP(AF948,AKT!$C$4:$E$324,3,FALSE)</f>
        <v>0150</v>
      </c>
    </row>
    <row r="949" spans="30:33">
      <c r="AD949" t="s">
        <v>3259</v>
      </c>
      <c r="AE949" t="s">
        <v>3260</v>
      </c>
      <c r="AF949" t="str">
        <f t="shared" si="75"/>
        <v>A622125</v>
      </c>
      <c r="AG949" t="str">
        <f>VLOOKUP(AF949,AKT!$C$4:$E$324,3,FALSE)</f>
        <v>0150</v>
      </c>
    </row>
    <row r="950" spans="30:33">
      <c r="AD950" t="s">
        <v>3261</v>
      </c>
      <c r="AE950" t="s">
        <v>3262</v>
      </c>
      <c r="AF950" t="str">
        <f t="shared" si="75"/>
        <v>A622125</v>
      </c>
      <c r="AG950" t="str">
        <f>VLOOKUP(AF950,AKT!$C$4:$E$324,3,FALSE)</f>
        <v>0150</v>
      </c>
    </row>
    <row r="951" spans="30:33">
      <c r="AD951" t="s">
        <v>3263</v>
      </c>
      <c r="AE951" t="s">
        <v>3264</v>
      </c>
      <c r="AF951" t="str">
        <f t="shared" si="75"/>
        <v>A622125</v>
      </c>
      <c r="AG951" t="str">
        <f>VLOOKUP(AF951,AKT!$C$4:$E$324,3,FALSE)</f>
        <v>0150</v>
      </c>
    </row>
    <row r="952" spans="30:33">
      <c r="AD952" t="s">
        <v>3265</v>
      </c>
      <c r="AE952" t="s">
        <v>3266</v>
      </c>
      <c r="AF952" t="str">
        <f t="shared" si="75"/>
        <v>A622125</v>
      </c>
      <c r="AG952" t="str">
        <f>VLOOKUP(AF952,AKT!$C$4:$E$324,3,FALSE)</f>
        <v>0150</v>
      </c>
    </row>
    <row r="953" spans="30:33">
      <c r="AD953" t="s">
        <v>3267</v>
      </c>
      <c r="AE953" t="s">
        <v>3268</v>
      </c>
      <c r="AF953" t="str">
        <f t="shared" si="75"/>
        <v>A622125</v>
      </c>
      <c r="AG953" t="str">
        <f>VLOOKUP(AF953,AKT!$C$4:$E$324,3,FALSE)</f>
        <v>0150</v>
      </c>
    </row>
    <row r="954" spans="30:33">
      <c r="AD954" t="s">
        <v>3269</v>
      </c>
      <c r="AE954" t="s">
        <v>3270</v>
      </c>
      <c r="AF954" t="str">
        <f t="shared" si="75"/>
        <v>A622125</v>
      </c>
      <c r="AG954" t="str">
        <f>VLOOKUP(AF954,AKT!$C$4:$E$324,3,FALSE)</f>
        <v>0150</v>
      </c>
    </row>
    <row r="955" spans="30:33">
      <c r="AD955" t="s">
        <v>3271</v>
      </c>
      <c r="AE955" t="s">
        <v>3272</v>
      </c>
      <c r="AF955" t="str">
        <f t="shared" si="75"/>
        <v>A622125</v>
      </c>
      <c r="AG955" t="str">
        <f>VLOOKUP(AF955,AKT!$C$4:$E$324,3,FALSE)</f>
        <v>0150</v>
      </c>
    </row>
    <row r="956" spans="30:33">
      <c r="AD956" t="s">
        <v>3273</v>
      </c>
      <c r="AE956" t="s">
        <v>3274</v>
      </c>
      <c r="AF956" t="str">
        <f t="shared" si="75"/>
        <v>A622125</v>
      </c>
      <c r="AG956" t="str">
        <f>VLOOKUP(AF956,AKT!$C$4:$E$324,3,FALSE)</f>
        <v>0150</v>
      </c>
    </row>
    <row r="957" spans="30:33">
      <c r="AD957" t="s">
        <v>3275</v>
      </c>
      <c r="AE957" t="s">
        <v>3276</v>
      </c>
      <c r="AF957" t="str">
        <f t="shared" si="75"/>
        <v>A622125</v>
      </c>
      <c r="AG957" t="str">
        <f>VLOOKUP(AF957,AKT!$C$4:$E$324,3,FALSE)</f>
        <v>0150</v>
      </c>
    </row>
    <row r="958" spans="30:33">
      <c r="AD958" t="s">
        <v>3277</v>
      </c>
      <c r="AE958" t="s">
        <v>3278</v>
      </c>
      <c r="AF958" t="str">
        <f t="shared" si="75"/>
        <v>A622125</v>
      </c>
      <c r="AG958" t="str">
        <f>VLOOKUP(AF958,AKT!$C$4:$E$324,3,FALSE)</f>
        <v>0150</v>
      </c>
    </row>
    <row r="959" spans="30:33">
      <c r="AD959" t="s">
        <v>3279</v>
      </c>
      <c r="AE959" t="s">
        <v>3280</v>
      </c>
      <c r="AF959" t="str">
        <f t="shared" si="75"/>
        <v>A622125</v>
      </c>
      <c r="AG959" t="str">
        <f>VLOOKUP(AF959,AKT!$C$4:$E$324,3,FALSE)</f>
        <v>0150</v>
      </c>
    </row>
    <row r="960" spans="30:33">
      <c r="AD960" t="s">
        <v>3281</v>
      </c>
      <c r="AE960" t="s">
        <v>3282</v>
      </c>
      <c r="AF960" t="str">
        <f t="shared" si="75"/>
        <v>A622125</v>
      </c>
      <c r="AG960" t="str">
        <f>VLOOKUP(AF960,AKT!$C$4:$E$324,3,FALSE)</f>
        <v>0150</v>
      </c>
    </row>
    <row r="961" spans="30:33">
      <c r="AD961" t="s">
        <v>3283</v>
      </c>
      <c r="AE961" t="s">
        <v>3284</v>
      </c>
      <c r="AF961" t="str">
        <f t="shared" si="75"/>
        <v>A622125</v>
      </c>
      <c r="AG961" t="str">
        <f>VLOOKUP(AF961,AKT!$C$4:$E$324,3,FALSE)</f>
        <v>0150</v>
      </c>
    </row>
    <row r="962" spans="30:33">
      <c r="AD962" t="s">
        <v>3285</v>
      </c>
      <c r="AE962" t="s">
        <v>3286</v>
      </c>
      <c r="AF962" t="str">
        <f t="shared" si="75"/>
        <v>A622125</v>
      </c>
      <c r="AG962" t="str">
        <f>VLOOKUP(AF962,AKT!$C$4:$E$324,3,FALSE)</f>
        <v>0150</v>
      </c>
    </row>
    <row r="963" spans="30:33">
      <c r="AD963" t="s">
        <v>3287</v>
      </c>
      <c r="AE963" t="s">
        <v>3288</v>
      </c>
      <c r="AF963" t="str">
        <f t="shared" ref="AF963:AF1026" si="76">LEFT(AD963,7)</f>
        <v>A622125</v>
      </c>
      <c r="AG963" t="str">
        <f>VLOOKUP(AF963,AKT!$C$4:$E$324,3,FALSE)</f>
        <v>0150</v>
      </c>
    </row>
    <row r="964" spans="30:33">
      <c r="AD964" t="s">
        <v>3289</v>
      </c>
      <c r="AE964" t="s">
        <v>3290</v>
      </c>
      <c r="AF964" t="str">
        <f t="shared" si="76"/>
        <v>A622125</v>
      </c>
      <c r="AG964" t="str">
        <f>VLOOKUP(AF964,AKT!$C$4:$E$324,3,FALSE)</f>
        <v>0150</v>
      </c>
    </row>
    <row r="965" spans="30:33">
      <c r="AD965" t="s">
        <v>3291</v>
      </c>
      <c r="AE965" t="s">
        <v>3292</v>
      </c>
      <c r="AF965" t="str">
        <f t="shared" si="76"/>
        <v>A622125</v>
      </c>
      <c r="AG965" t="str">
        <f>VLOOKUP(AF965,AKT!$C$4:$E$324,3,FALSE)</f>
        <v>0150</v>
      </c>
    </row>
    <row r="966" spans="30:33">
      <c r="AD966" t="s">
        <v>3293</v>
      </c>
      <c r="AE966" t="s">
        <v>3294</v>
      </c>
      <c r="AF966" t="str">
        <f t="shared" si="76"/>
        <v>A622125</v>
      </c>
      <c r="AG966" t="str">
        <f>VLOOKUP(AF966,AKT!$C$4:$E$324,3,FALSE)</f>
        <v>0150</v>
      </c>
    </row>
    <row r="967" spans="30:33">
      <c r="AD967" t="s">
        <v>3295</v>
      </c>
      <c r="AE967" t="s">
        <v>3296</v>
      </c>
      <c r="AF967" t="str">
        <f t="shared" si="76"/>
        <v>A622125</v>
      </c>
      <c r="AG967" t="str">
        <f>VLOOKUP(AF967,AKT!$C$4:$E$324,3,FALSE)</f>
        <v>0150</v>
      </c>
    </row>
    <row r="968" spans="30:33">
      <c r="AD968" t="s">
        <v>3297</v>
      </c>
      <c r="AE968" t="s">
        <v>3298</v>
      </c>
      <c r="AF968" t="str">
        <f t="shared" si="76"/>
        <v>A622125</v>
      </c>
      <c r="AG968" t="str">
        <f>VLOOKUP(AF968,AKT!$C$4:$E$324,3,FALSE)</f>
        <v>0150</v>
      </c>
    </row>
    <row r="969" spans="30:33">
      <c r="AD969" t="s">
        <v>3299</v>
      </c>
      <c r="AE969" t="s">
        <v>3300</v>
      </c>
      <c r="AF969" t="str">
        <f t="shared" si="76"/>
        <v>A622125</v>
      </c>
      <c r="AG969" t="str">
        <f>VLOOKUP(AF969,AKT!$C$4:$E$324,3,FALSE)</f>
        <v>0150</v>
      </c>
    </row>
    <row r="970" spans="30:33">
      <c r="AD970" t="s">
        <v>3301</v>
      </c>
      <c r="AE970" t="s">
        <v>3302</v>
      </c>
      <c r="AF970" t="str">
        <f t="shared" si="76"/>
        <v>A622125</v>
      </c>
      <c r="AG970" t="str">
        <f>VLOOKUP(AF970,AKT!$C$4:$E$324,3,FALSE)</f>
        <v>0150</v>
      </c>
    </row>
    <row r="971" spans="30:33">
      <c r="AD971" t="s">
        <v>3303</v>
      </c>
      <c r="AE971" t="s">
        <v>3304</v>
      </c>
      <c r="AF971" t="str">
        <f t="shared" si="76"/>
        <v>A622125</v>
      </c>
      <c r="AG971" t="str">
        <f>VLOOKUP(AF971,AKT!$C$4:$E$324,3,FALSE)</f>
        <v>0150</v>
      </c>
    </row>
    <row r="972" spans="30:33">
      <c r="AD972" t="s">
        <v>3305</v>
      </c>
      <c r="AE972" t="s">
        <v>3306</v>
      </c>
      <c r="AF972" t="str">
        <f t="shared" si="76"/>
        <v>A622125</v>
      </c>
      <c r="AG972" t="str">
        <f>VLOOKUP(AF972,AKT!$C$4:$E$324,3,FALSE)</f>
        <v>0150</v>
      </c>
    </row>
    <row r="973" spans="30:33">
      <c r="AD973" t="s">
        <v>3307</v>
      </c>
      <c r="AE973" t="s">
        <v>3308</v>
      </c>
      <c r="AF973" t="str">
        <f t="shared" si="76"/>
        <v>A622125</v>
      </c>
      <c r="AG973" t="str">
        <f>VLOOKUP(AF973,AKT!$C$4:$E$324,3,FALSE)</f>
        <v>0150</v>
      </c>
    </row>
    <row r="974" spans="30:33">
      <c r="AD974" t="s">
        <v>3309</v>
      </c>
      <c r="AE974" t="s">
        <v>3310</v>
      </c>
      <c r="AF974" t="str">
        <f t="shared" si="76"/>
        <v>A622125</v>
      </c>
      <c r="AG974" t="str">
        <f>VLOOKUP(AF974,AKT!$C$4:$E$324,3,FALSE)</f>
        <v>0150</v>
      </c>
    </row>
    <row r="975" spans="30:33">
      <c r="AD975" t="s">
        <v>3311</v>
      </c>
      <c r="AE975" t="s">
        <v>3312</v>
      </c>
      <c r="AF975" t="str">
        <f t="shared" si="76"/>
        <v>A622125</v>
      </c>
      <c r="AG975" t="str">
        <f>VLOOKUP(AF975,AKT!$C$4:$E$324,3,FALSE)</f>
        <v>0150</v>
      </c>
    </row>
    <row r="976" spans="30:33">
      <c r="AD976" t="s">
        <v>3313</v>
      </c>
      <c r="AE976" t="s">
        <v>3314</v>
      </c>
      <c r="AF976" t="str">
        <f t="shared" si="76"/>
        <v>A622125</v>
      </c>
      <c r="AG976" t="str">
        <f>VLOOKUP(AF976,AKT!$C$4:$E$324,3,FALSE)</f>
        <v>0150</v>
      </c>
    </row>
    <row r="977" spans="30:33">
      <c r="AD977" t="s">
        <v>3315</v>
      </c>
      <c r="AE977" t="s">
        <v>3316</v>
      </c>
      <c r="AF977" t="str">
        <f t="shared" si="76"/>
        <v>A622125</v>
      </c>
      <c r="AG977" t="str">
        <f>VLOOKUP(AF977,AKT!$C$4:$E$324,3,FALSE)</f>
        <v>0150</v>
      </c>
    </row>
    <row r="978" spans="30:33">
      <c r="AD978" t="s">
        <v>3317</v>
      </c>
      <c r="AE978" t="s">
        <v>3318</v>
      </c>
      <c r="AF978" t="str">
        <f t="shared" si="76"/>
        <v>A622125</v>
      </c>
      <c r="AG978" t="str">
        <f>VLOOKUP(AF978,AKT!$C$4:$E$324,3,FALSE)</f>
        <v>0150</v>
      </c>
    </row>
    <row r="979" spans="30:33">
      <c r="AD979" t="s">
        <v>3319</v>
      </c>
      <c r="AE979" t="s">
        <v>3320</v>
      </c>
      <c r="AF979" t="str">
        <f t="shared" si="76"/>
        <v>A622125</v>
      </c>
      <c r="AG979" t="str">
        <f>VLOOKUP(AF979,AKT!$C$4:$E$324,3,FALSE)</f>
        <v>0150</v>
      </c>
    </row>
    <row r="980" spans="30:33">
      <c r="AD980" t="s">
        <v>3321</v>
      </c>
      <c r="AE980" t="s">
        <v>3322</v>
      </c>
      <c r="AF980" t="str">
        <f t="shared" si="76"/>
        <v>A622125</v>
      </c>
      <c r="AG980" t="str">
        <f>VLOOKUP(AF980,AKT!$C$4:$E$324,3,FALSE)</f>
        <v>0150</v>
      </c>
    </row>
    <row r="981" spans="30:33">
      <c r="AD981" t="s">
        <v>3323</v>
      </c>
      <c r="AE981" t="s">
        <v>3324</v>
      </c>
      <c r="AF981" t="str">
        <f t="shared" si="76"/>
        <v>A622125</v>
      </c>
      <c r="AG981" t="str">
        <f>VLOOKUP(AF981,AKT!$C$4:$E$324,3,FALSE)</f>
        <v>0150</v>
      </c>
    </row>
    <row r="982" spans="30:33">
      <c r="AD982" t="s">
        <v>3325</v>
      </c>
      <c r="AE982" t="s">
        <v>3326</v>
      </c>
      <c r="AF982" t="str">
        <f t="shared" si="76"/>
        <v>A622125</v>
      </c>
      <c r="AG982" t="str">
        <f>VLOOKUP(AF982,AKT!$C$4:$E$324,3,FALSE)</f>
        <v>0150</v>
      </c>
    </row>
    <row r="983" spans="30:33">
      <c r="AD983" t="s">
        <v>3327</v>
      </c>
      <c r="AE983" t="s">
        <v>3328</v>
      </c>
      <c r="AF983" t="str">
        <f t="shared" si="76"/>
        <v>A622125</v>
      </c>
      <c r="AG983" t="str">
        <f>VLOOKUP(AF983,AKT!$C$4:$E$324,3,FALSE)</f>
        <v>0150</v>
      </c>
    </row>
    <row r="984" spans="30:33">
      <c r="AD984" t="s">
        <v>3329</v>
      </c>
      <c r="AE984" t="s">
        <v>3330</v>
      </c>
      <c r="AF984" t="str">
        <f t="shared" si="76"/>
        <v>A622125</v>
      </c>
      <c r="AG984" t="str">
        <f>VLOOKUP(AF984,AKT!$C$4:$E$324,3,FALSE)</f>
        <v>0150</v>
      </c>
    </row>
    <row r="985" spans="30:33">
      <c r="AD985" t="s">
        <v>3331</v>
      </c>
      <c r="AE985" t="s">
        <v>3332</v>
      </c>
      <c r="AF985" t="str">
        <f t="shared" si="76"/>
        <v>A622125</v>
      </c>
      <c r="AG985" t="str">
        <f>VLOOKUP(AF985,AKT!$C$4:$E$324,3,FALSE)</f>
        <v>0150</v>
      </c>
    </row>
    <row r="986" spans="30:33">
      <c r="AD986" t="s">
        <v>3333</v>
      </c>
      <c r="AE986" t="s">
        <v>3334</v>
      </c>
      <c r="AF986" t="str">
        <f t="shared" si="76"/>
        <v>A622125</v>
      </c>
      <c r="AG986" t="str">
        <f>VLOOKUP(AF986,AKT!$C$4:$E$324,3,FALSE)</f>
        <v>0150</v>
      </c>
    </row>
    <row r="987" spans="30:33">
      <c r="AD987" t="s">
        <v>3335</v>
      </c>
      <c r="AE987" t="s">
        <v>3336</v>
      </c>
      <c r="AF987" t="str">
        <f t="shared" si="76"/>
        <v>A622125</v>
      </c>
      <c r="AG987" t="str">
        <f>VLOOKUP(AF987,AKT!$C$4:$E$324,3,FALSE)</f>
        <v>0150</v>
      </c>
    </row>
    <row r="988" spans="30:33">
      <c r="AD988" t="s">
        <v>3337</v>
      </c>
      <c r="AE988" t="s">
        <v>3338</v>
      </c>
      <c r="AF988" t="str">
        <f t="shared" si="76"/>
        <v>A622125</v>
      </c>
      <c r="AG988" t="str">
        <f>VLOOKUP(AF988,AKT!$C$4:$E$324,3,FALSE)</f>
        <v>0150</v>
      </c>
    </row>
    <row r="989" spans="30:33">
      <c r="AD989" t="s">
        <v>3339</v>
      </c>
      <c r="AE989" t="s">
        <v>3340</v>
      </c>
      <c r="AF989" t="str">
        <f t="shared" si="76"/>
        <v>A622125</v>
      </c>
      <c r="AG989" t="str">
        <f>VLOOKUP(AF989,AKT!$C$4:$E$324,3,FALSE)</f>
        <v>0150</v>
      </c>
    </row>
    <row r="990" spans="30:33">
      <c r="AD990" t="s">
        <v>3341</v>
      </c>
      <c r="AE990" t="s">
        <v>3342</v>
      </c>
      <c r="AF990" t="str">
        <f t="shared" si="76"/>
        <v>A622125</v>
      </c>
      <c r="AG990" t="str">
        <f>VLOOKUP(AF990,AKT!$C$4:$E$324,3,FALSE)</f>
        <v>0150</v>
      </c>
    </row>
    <row r="991" spans="30:33">
      <c r="AD991" t="s">
        <v>3343</v>
      </c>
      <c r="AE991" t="s">
        <v>3344</v>
      </c>
      <c r="AF991" t="str">
        <f t="shared" si="76"/>
        <v>A622125</v>
      </c>
      <c r="AG991" t="str">
        <f>VLOOKUP(AF991,AKT!$C$4:$E$324,3,FALSE)</f>
        <v>0150</v>
      </c>
    </row>
    <row r="992" spans="30:33">
      <c r="AD992" t="s">
        <v>3345</v>
      </c>
      <c r="AE992" t="s">
        <v>3346</v>
      </c>
      <c r="AF992" t="str">
        <f t="shared" si="76"/>
        <v>A622125</v>
      </c>
      <c r="AG992" t="str">
        <f>VLOOKUP(AF992,AKT!$C$4:$E$324,3,FALSE)</f>
        <v>0150</v>
      </c>
    </row>
    <row r="993" spans="30:33">
      <c r="AD993" t="s">
        <v>3347</v>
      </c>
      <c r="AE993" t="s">
        <v>3348</v>
      </c>
      <c r="AF993" t="str">
        <f t="shared" si="76"/>
        <v>A622125</v>
      </c>
      <c r="AG993" t="str">
        <f>VLOOKUP(AF993,AKT!$C$4:$E$324,3,FALSE)</f>
        <v>0150</v>
      </c>
    </row>
    <row r="994" spans="30:33">
      <c r="AD994" t="s">
        <v>3349</v>
      </c>
      <c r="AE994" t="s">
        <v>3350</v>
      </c>
      <c r="AF994" t="str">
        <f t="shared" si="76"/>
        <v>A622125</v>
      </c>
      <c r="AG994" t="str">
        <f>VLOOKUP(AF994,AKT!$C$4:$E$324,3,FALSE)</f>
        <v>0150</v>
      </c>
    </row>
    <row r="995" spans="30:33">
      <c r="AD995" t="s">
        <v>3351</v>
      </c>
      <c r="AE995" t="s">
        <v>3352</v>
      </c>
      <c r="AF995" t="str">
        <f t="shared" si="76"/>
        <v>A622125</v>
      </c>
      <c r="AG995" t="str">
        <f>VLOOKUP(AF995,AKT!$C$4:$E$324,3,FALSE)</f>
        <v>0150</v>
      </c>
    </row>
    <row r="996" spans="30:33">
      <c r="AD996" t="s">
        <v>3353</v>
      </c>
      <c r="AE996" t="s">
        <v>3354</v>
      </c>
      <c r="AF996" t="str">
        <f t="shared" si="76"/>
        <v>A622125</v>
      </c>
      <c r="AG996" t="str">
        <f>VLOOKUP(AF996,AKT!$C$4:$E$324,3,FALSE)</f>
        <v>0150</v>
      </c>
    </row>
    <row r="997" spans="30:33">
      <c r="AD997" t="s">
        <v>3355</v>
      </c>
      <c r="AE997" t="s">
        <v>3356</v>
      </c>
      <c r="AF997" t="str">
        <f t="shared" si="76"/>
        <v>A622125</v>
      </c>
      <c r="AG997" t="str">
        <f>VLOOKUP(AF997,AKT!$C$4:$E$324,3,FALSE)</f>
        <v>0150</v>
      </c>
    </row>
    <row r="998" spans="30:33">
      <c r="AD998" t="s">
        <v>3357</v>
      </c>
      <c r="AE998" t="s">
        <v>3358</v>
      </c>
      <c r="AF998" t="str">
        <f t="shared" si="76"/>
        <v>A622125</v>
      </c>
      <c r="AG998" t="str">
        <f>VLOOKUP(AF998,AKT!$C$4:$E$324,3,FALSE)</f>
        <v>0150</v>
      </c>
    </row>
    <row r="999" spans="30:33">
      <c r="AD999" t="s">
        <v>3359</v>
      </c>
      <c r="AE999" t="s">
        <v>3360</v>
      </c>
      <c r="AF999" t="str">
        <f t="shared" si="76"/>
        <v>A622125</v>
      </c>
      <c r="AG999" t="str">
        <f>VLOOKUP(AF999,AKT!$C$4:$E$324,3,FALSE)</f>
        <v>0150</v>
      </c>
    </row>
    <row r="1000" spans="30:33">
      <c r="AD1000" t="s">
        <v>3361</v>
      </c>
      <c r="AE1000" t="s">
        <v>3362</v>
      </c>
      <c r="AF1000" t="str">
        <f t="shared" si="76"/>
        <v>A622125</v>
      </c>
      <c r="AG1000" t="str">
        <f>VLOOKUP(AF1000,AKT!$C$4:$E$324,3,FALSE)</f>
        <v>0150</v>
      </c>
    </row>
    <row r="1001" spans="30:33">
      <c r="AD1001" t="s">
        <v>3363</v>
      </c>
      <c r="AE1001" t="s">
        <v>3364</v>
      </c>
      <c r="AF1001" t="str">
        <f t="shared" si="76"/>
        <v>A622125</v>
      </c>
      <c r="AG1001" t="str">
        <f>VLOOKUP(AF1001,AKT!$C$4:$E$324,3,FALSE)</f>
        <v>0150</v>
      </c>
    </row>
    <row r="1002" spans="30:33">
      <c r="AD1002" t="s">
        <v>3365</v>
      </c>
      <c r="AE1002" t="s">
        <v>3366</v>
      </c>
      <c r="AF1002" t="str">
        <f t="shared" si="76"/>
        <v>A622125</v>
      </c>
      <c r="AG1002" t="str">
        <f>VLOOKUP(AF1002,AKT!$C$4:$E$324,3,FALSE)</f>
        <v>0150</v>
      </c>
    </row>
    <row r="1003" spans="30:33">
      <c r="AD1003" t="s">
        <v>3367</v>
      </c>
      <c r="AE1003" t="s">
        <v>3368</v>
      </c>
      <c r="AF1003" t="str">
        <f t="shared" si="76"/>
        <v>A622125</v>
      </c>
      <c r="AG1003" t="str">
        <f>VLOOKUP(AF1003,AKT!$C$4:$E$324,3,FALSE)</f>
        <v>0150</v>
      </c>
    </row>
    <row r="1004" spans="30:33">
      <c r="AD1004" t="s">
        <v>3369</v>
      </c>
      <c r="AE1004" t="s">
        <v>3370</v>
      </c>
      <c r="AF1004" t="str">
        <f t="shared" si="76"/>
        <v>A622125</v>
      </c>
      <c r="AG1004" t="str">
        <f>VLOOKUP(AF1004,AKT!$C$4:$E$324,3,FALSE)</f>
        <v>0150</v>
      </c>
    </row>
    <row r="1005" spans="30:33">
      <c r="AD1005" t="s">
        <v>3371</v>
      </c>
      <c r="AE1005" t="s">
        <v>3372</v>
      </c>
      <c r="AF1005" t="str">
        <f t="shared" si="76"/>
        <v>A622125</v>
      </c>
      <c r="AG1005" t="str">
        <f>VLOOKUP(AF1005,AKT!$C$4:$E$324,3,FALSE)</f>
        <v>0150</v>
      </c>
    </row>
    <row r="1006" spans="30:33">
      <c r="AD1006" t="s">
        <v>3373</v>
      </c>
      <c r="AE1006" t="s">
        <v>3374</v>
      </c>
      <c r="AF1006" t="str">
        <f t="shared" si="76"/>
        <v>A622125</v>
      </c>
      <c r="AG1006" t="str">
        <f>VLOOKUP(AF1006,AKT!$C$4:$E$324,3,FALSE)</f>
        <v>0150</v>
      </c>
    </row>
    <row r="1007" spans="30:33">
      <c r="AD1007" t="s">
        <v>3375</v>
      </c>
      <c r="AE1007" t="s">
        <v>3376</v>
      </c>
      <c r="AF1007" t="str">
        <f t="shared" si="76"/>
        <v>A622125</v>
      </c>
      <c r="AG1007" t="str">
        <f>VLOOKUP(AF1007,AKT!$C$4:$E$324,3,FALSE)</f>
        <v>0150</v>
      </c>
    </row>
    <row r="1008" spans="30:33">
      <c r="AD1008" t="s">
        <v>3377</v>
      </c>
      <c r="AE1008" t="s">
        <v>3378</v>
      </c>
      <c r="AF1008" t="str">
        <f t="shared" si="76"/>
        <v>A622125</v>
      </c>
      <c r="AG1008" t="str">
        <f>VLOOKUP(AF1008,AKT!$C$4:$E$324,3,FALSE)</f>
        <v>0150</v>
      </c>
    </row>
    <row r="1009" spans="30:33">
      <c r="AD1009" t="s">
        <v>3379</v>
      </c>
      <c r="AE1009" t="s">
        <v>3380</v>
      </c>
      <c r="AF1009" t="str">
        <f t="shared" si="76"/>
        <v>A622125</v>
      </c>
      <c r="AG1009" t="str">
        <f>VLOOKUP(AF1009,AKT!$C$4:$E$324,3,FALSE)</f>
        <v>0150</v>
      </c>
    </row>
    <row r="1010" spans="30:33">
      <c r="AD1010" t="s">
        <v>3381</v>
      </c>
      <c r="AE1010" t="s">
        <v>3382</v>
      </c>
      <c r="AF1010" t="str">
        <f t="shared" si="76"/>
        <v>A622125</v>
      </c>
      <c r="AG1010" t="str">
        <f>VLOOKUP(AF1010,AKT!$C$4:$E$324,3,FALSE)</f>
        <v>0150</v>
      </c>
    </row>
    <row r="1011" spans="30:33">
      <c r="AD1011" t="s">
        <v>3383</v>
      </c>
      <c r="AE1011" t="s">
        <v>3384</v>
      </c>
      <c r="AF1011" t="str">
        <f t="shared" si="76"/>
        <v>A622125</v>
      </c>
      <c r="AG1011" t="str">
        <f>VLOOKUP(AF1011,AKT!$C$4:$E$324,3,FALSE)</f>
        <v>0150</v>
      </c>
    </row>
    <row r="1012" spans="30:33">
      <c r="AD1012" t="s">
        <v>3385</v>
      </c>
      <c r="AE1012" t="s">
        <v>3386</v>
      </c>
      <c r="AF1012" t="str">
        <f t="shared" si="76"/>
        <v>A622125</v>
      </c>
      <c r="AG1012" t="str">
        <f>VLOOKUP(AF1012,AKT!$C$4:$E$324,3,FALSE)</f>
        <v>0150</v>
      </c>
    </row>
    <row r="1013" spans="30:33">
      <c r="AD1013" t="s">
        <v>3387</v>
      </c>
      <c r="AE1013" t="s">
        <v>3388</v>
      </c>
      <c r="AF1013" t="str">
        <f t="shared" si="76"/>
        <v>A622125</v>
      </c>
      <c r="AG1013" t="str">
        <f>VLOOKUP(AF1013,AKT!$C$4:$E$324,3,FALSE)</f>
        <v>0150</v>
      </c>
    </row>
    <row r="1014" spans="30:33">
      <c r="AD1014" t="s">
        <v>3389</v>
      </c>
      <c r="AE1014" t="s">
        <v>3390</v>
      </c>
      <c r="AF1014" t="str">
        <f t="shared" si="76"/>
        <v>A622125</v>
      </c>
      <c r="AG1014" t="str">
        <f>VLOOKUP(AF1014,AKT!$C$4:$E$324,3,FALSE)</f>
        <v>0150</v>
      </c>
    </row>
    <row r="1015" spans="30:33">
      <c r="AD1015" t="s">
        <v>3391</v>
      </c>
      <c r="AE1015" t="s">
        <v>3392</v>
      </c>
      <c r="AF1015" t="str">
        <f t="shared" si="76"/>
        <v>A622125</v>
      </c>
      <c r="AG1015" t="str">
        <f>VLOOKUP(AF1015,AKT!$C$4:$E$324,3,FALSE)</f>
        <v>0150</v>
      </c>
    </row>
    <row r="1016" spans="30:33">
      <c r="AD1016" t="s">
        <v>3393</v>
      </c>
      <c r="AE1016" t="s">
        <v>3310</v>
      </c>
      <c r="AF1016" t="str">
        <f t="shared" si="76"/>
        <v>A622125</v>
      </c>
      <c r="AG1016" t="str">
        <f>VLOOKUP(AF1016,AKT!$C$4:$E$324,3,FALSE)</f>
        <v>0150</v>
      </c>
    </row>
    <row r="1017" spans="30:33">
      <c r="AD1017" t="s">
        <v>3394</v>
      </c>
      <c r="AE1017" t="s">
        <v>3395</v>
      </c>
      <c r="AF1017" t="str">
        <f t="shared" si="76"/>
        <v>A622125</v>
      </c>
      <c r="AG1017" t="str">
        <f>VLOOKUP(AF1017,AKT!$C$4:$E$324,3,FALSE)</f>
        <v>0150</v>
      </c>
    </row>
    <row r="1018" spans="30:33">
      <c r="AD1018" t="s">
        <v>3396</v>
      </c>
      <c r="AE1018" t="s">
        <v>3397</v>
      </c>
      <c r="AF1018" t="str">
        <f t="shared" si="76"/>
        <v>A622125</v>
      </c>
      <c r="AG1018" t="str">
        <f>VLOOKUP(AF1018,AKT!$C$4:$E$324,3,FALSE)</f>
        <v>0150</v>
      </c>
    </row>
    <row r="1019" spans="30:33">
      <c r="AD1019" t="s">
        <v>3398</v>
      </c>
      <c r="AE1019" t="s">
        <v>3399</v>
      </c>
      <c r="AF1019" t="str">
        <f t="shared" si="76"/>
        <v>A622125</v>
      </c>
      <c r="AG1019" t="str">
        <f>VLOOKUP(AF1019,AKT!$C$4:$E$324,3,FALSE)</f>
        <v>0150</v>
      </c>
    </row>
    <row r="1020" spans="30:33">
      <c r="AD1020" t="s">
        <v>3400</v>
      </c>
      <c r="AE1020" t="s">
        <v>3388</v>
      </c>
      <c r="AF1020" t="str">
        <f t="shared" si="76"/>
        <v>A622125</v>
      </c>
      <c r="AG1020" t="str">
        <f>VLOOKUP(AF1020,AKT!$C$4:$E$324,3,FALSE)</f>
        <v>0150</v>
      </c>
    </row>
    <row r="1021" spans="30:33">
      <c r="AD1021" t="s">
        <v>3401</v>
      </c>
      <c r="AE1021" t="s">
        <v>3402</v>
      </c>
      <c r="AF1021" t="str">
        <f t="shared" si="76"/>
        <v>A622125</v>
      </c>
      <c r="AG1021" t="str">
        <f>VLOOKUP(AF1021,AKT!$C$4:$E$324,3,FALSE)</f>
        <v>0150</v>
      </c>
    </row>
    <row r="1022" spans="30:33">
      <c r="AD1022" t="s">
        <v>3403</v>
      </c>
      <c r="AE1022" t="s">
        <v>3404</v>
      </c>
      <c r="AF1022" t="str">
        <f t="shared" si="76"/>
        <v>A622125</v>
      </c>
      <c r="AG1022" t="str">
        <f>VLOOKUP(AF1022,AKT!$C$4:$E$324,3,FALSE)</f>
        <v>0150</v>
      </c>
    </row>
    <row r="1023" spans="30:33">
      <c r="AD1023" t="s">
        <v>3405</v>
      </c>
      <c r="AE1023" t="s">
        <v>3406</v>
      </c>
      <c r="AF1023" t="str">
        <f t="shared" si="76"/>
        <v>A622125</v>
      </c>
      <c r="AG1023" t="str">
        <f>VLOOKUP(AF1023,AKT!$C$4:$E$324,3,FALSE)</f>
        <v>0150</v>
      </c>
    </row>
    <row r="1024" spans="30:33">
      <c r="AD1024" t="s">
        <v>3407</v>
      </c>
      <c r="AE1024" t="s">
        <v>3408</v>
      </c>
      <c r="AF1024" t="str">
        <f t="shared" si="76"/>
        <v>A622125</v>
      </c>
      <c r="AG1024" t="str">
        <f>VLOOKUP(AF1024,AKT!$C$4:$E$324,3,FALSE)</f>
        <v>0150</v>
      </c>
    </row>
    <row r="1025" spans="30:33">
      <c r="AD1025" t="s">
        <v>3409</v>
      </c>
      <c r="AE1025" t="s">
        <v>3410</v>
      </c>
      <c r="AF1025" t="str">
        <f t="shared" si="76"/>
        <v>A622125</v>
      </c>
      <c r="AG1025" t="str">
        <f>VLOOKUP(AF1025,AKT!$C$4:$E$324,3,FALSE)</f>
        <v>0150</v>
      </c>
    </row>
    <row r="1026" spans="30:33">
      <c r="AD1026" t="s">
        <v>3411</v>
      </c>
      <c r="AE1026" t="s">
        <v>3412</v>
      </c>
      <c r="AF1026" t="str">
        <f t="shared" si="76"/>
        <v>A622125</v>
      </c>
      <c r="AG1026" t="str">
        <f>VLOOKUP(AF1026,AKT!$C$4:$E$324,3,FALSE)</f>
        <v>0150</v>
      </c>
    </row>
    <row r="1027" spans="30:33">
      <c r="AD1027" t="s">
        <v>3413</v>
      </c>
      <c r="AE1027" t="s">
        <v>3414</v>
      </c>
      <c r="AF1027" t="str">
        <f t="shared" ref="AF1027:AF1085" si="77">LEFT(AD1027,7)</f>
        <v>A622125</v>
      </c>
      <c r="AG1027" t="str">
        <f>VLOOKUP(AF1027,AKT!$C$4:$E$324,3,FALSE)</f>
        <v>0150</v>
      </c>
    </row>
    <row r="1028" spans="30:33">
      <c r="AD1028" t="s">
        <v>3415</v>
      </c>
      <c r="AE1028" t="s">
        <v>3416</v>
      </c>
      <c r="AF1028" t="str">
        <f t="shared" si="77"/>
        <v>A622125</v>
      </c>
      <c r="AG1028" t="str">
        <f>VLOOKUP(AF1028,AKT!$C$4:$E$324,3,FALSE)</f>
        <v>0150</v>
      </c>
    </row>
    <row r="1029" spans="30:33">
      <c r="AD1029" t="s">
        <v>3417</v>
      </c>
      <c r="AE1029" t="s">
        <v>3418</v>
      </c>
      <c r="AF1029" t="str">
        <f t="shared" si="77"/>
        <v>A622125</v>
      </c>
      <c r="AG1029" t="str">
        <f>VLOOKUP(AF1029,AKT!$C$4:$E$324,3,FALSE)</f>
        <v>0150</v>
      </c>
    </row>
    <row r="1030" spans="30:33">
      <c r="AD1030" t="s">
        <v>3419</v>
      </c>
      <c r="AE1030" t="s">
        <v>3420</v>
      </c>
      <c r="AF1030" t="str">
        <f t="shared" si="77"/>
        <v>A622125</v>
      </c>
      <c r="AG1030" t="str">
        <f>VLOOKUP(AF1030,AKT!$C$4:$E$324,3,FALSE)</f>
        <v>0150</v>
      </c>
    </row>
    <row r="1031" spans="30:33">
      <c r="AD1031" t="s">
        <v>3421</v>
      </c>
      <c r="AE1031" t="s">
        <v>3422</v>
      </c>
      <c r="AF1031" t="str">
        <f t="shared" si="77"/>
        <v>A622125</v>
      </c>
      <c r="AG1031" t="str">
        <f>VLOOKUP(AF1031,AKT!$C$4:$E$324,3,FALSE)</f>
        <v>0150</v>
      </c>
    </row>
    <row r="1032" spans="30:33">
      <c r="AD1032" t="s">
        <v>3423</v>
      </c>
      <c r="AE1032" t="s">
        <v>3424</v>
      </c>
      <c r="AF1032" t="str">
        <f t="shared" si="77"/>
        <v>A622125</v>
      </c>
      <c r="AG1032" t="str">
        <f>VLOOKUP(AF1032,AKT!$C$4:$E$324,3,FALSE)</f>
        <v>0150</v>
      </c>
    </row>
    <row r="1033" spans="30:33">
      <c r="AD1033" t="s">
        <v>3425</v>
      </c>
      <c r="AE1033" t="s">
        <v>3426</v>
      </c>
      <c r="AF1033" t="str">
        <f t="shared" si="77"/>
        <v>A622125</v>
      </c>
      <c r="AG1033" t="str">
        <f>VLOOKUP(AF1033,AKT!$C$4:$E$324,3,FALSE)</f>
        <v>0150</v>
      </c>
    </row>
    <row r="1034" spans="30:33">
      <c r="AD1034" t="s">
        <v>3427</v>
      </c>
      <c r="AE1034" t="s">
        <v>3428</v>
      </c>
      <c r="AF1034" t="str">
        <f t="shared" si="77"/>
        <v>A622125</v>
      </c>
      <c r="AG1034" t="str">
        <f>VLOOKUP(AF1034,AKT!$C$4:$E$324,3,FALSE)</f>
        <v>0150</v>
      </c>
    </row>
    <row r="1035" spans="30:33">
      <c r="AD1035" t="s">
        <v>3429</v>
      </c>
      <c r="AE1035" t="s">
        <v>3430</v>
      </c>
      <c r="AF1035" t="str">
        <f t="shared" si="77"/>
        <v>A622125</v>
      </c>
      <c r="AG1035" t="str">
        <f>VLOOKUP(AF1035,AKT!$C$4:$E$324,3,FALSE)</f>
        <v>0150</v>
      </c>
    </row>
    <row r="1036" spans="30:33">
      <c r="AD1036" t="s">
        <v>3431</v>
      </c>
      <c r="AE1036" t="s">
        <v>3432</v>
      </c>
      <c r="AF1036" t="str">
        <f t="shared" si="77"/>
        <v>A622125</v>
      </c>
      <c r="AG1036" t="str">
        <f>VLOOKUP(AF1036,AKT!$C$4:$E$324,3,FALSE)</f>
        <v>0150</v>
      </c>
    </row>
    <row r="1037" spans="30:33">
      <c r="AD1037" t="s">
        <v>3433</v>
      </c>
      <c r="AE1037" t="s">
        <v>3434</v>
      </c>
      <c r="AF1037" t="str">
        <f t="shared" si="77"/>
        <v>A622125</v>
      </c>
      <c r="AG1037" t="str">
        <f>VLOOKUP(AF1037,AKT!$C$4:$E$324,3,FALSE)</f>
        <v>0150</v>
      </c>
    </row>
    <row r="1038" spans="30:33">
      <c r="AD1038" t="s">
        <v>3435</v>
      </c>
      <c r="AE1038" t="s">
        <v>2901</v>
      </c>
      <c r="AF1038" t="str">
        <f t="shared" si="77"/>
        <v>A622125</v>
      </c>
      <c r="AG1038" t="str">
        <f>VLOOKUP(AF1038,AKT!$C$4:$E$324,3,FALSE)</f>
        <v>0150</v>
      </c>
    </row>
    <row r="1039" spans="30:33">
      <c r="AD1039" t="s">
        <v>3436</v>
      </c>
      <c r="AE1039" t="s">
        <v>3437</v>
      </c>
      <c r="AF1039" t="str">
        <f t="shared" si="77"/>
        <v>A622125</v>
      </c>
      <c r="AG1039" t="str">
        <f>VLOOKUP(AF1039,AKT!$C$4:$E$324,3,FALSE)</f>
        <v>0150</v>
      </c>
    </row>
    <row r="1040" spans="30:33">
      <c r="AD1040" t="s">
        <v>3438</v>
      </c>
      <c r="AE1040" t="s">
        <v>3439</v>
      </c>
      <c r="AF1040" t="str">
        <f t="shared" si="77"/>
        <v>A622125</v>
      </c>
      <c r="AG1040" t="str">
        <f>VLOOKUP(AF1040,AKT!$C$4:$E$324,3,FALSE)</f>
        <v>0150</v>
      </c>
    </row>
    <row r="1041" spans="30:33">
      <c r="AD1041" t="s">
        <v>3440</v>
      </c>
      <c r="AE1041" t="s">
        <v>3441</v>
      </c>
      <c r="AF1041" t="str">
        <f t="shared" si="77"/>
        <v>A622125</v>
      </c>
      <c r="AG1041" t="str">
        <f>VLOOKUP(AF1041,AKT!$C$4:$E$324,3,FALSE)</f>
        <v>0150</v>
      </c>
    </row>
    <row r="1042" spans="30:33">
      <c r="AD1042" t="s">
        <v>3442</v>
      </c>
      <c r="AE1042" t="s">
        <v>3443</v>
      </c>
      <c r="AF1042" t="str">
        <f t="shared" si="77"/>
        <v>A622125</v>
      </c>
      <c r="AG1042" t="str">
        <f>VLOOKUP(AF1042,AKT!$C$4:$E$324,3,FALSE)</f>
        <v>0150</v>
      </c>
    </row>
    <row r="1043" spans="30:33">
      <c r="AD1043" t="s">
        <v>3444</v>
      </c>
      <c r="AE1043" t="s">
        <v>3445</v>
      </c>
      <c r="AF1043" t="str">
        <f t="shared" si="77"/>
        <v>A622125</v>
      </c>
      <c r="AG1043" t="str">
        <f>VLOOKUP(AF1043,AKT!$C$4:$E$324,3,FALSE)</f>
        <v>0150</v>
      </c>
    </row>
    <row r="1044" spans="30:33">
      <c r="AD1044" t="s">
        <v>3446</v>
      </c>
      <c r="AE1044" t="s">
        <v>1496</v>
      </c>
      <c r="AF1044" t="str">
        <f t="shared" si="77"/>
        <v>A622125</v>
      </c>
      <c r="AG1044" t="str">
        <f>VLOOKUP(AF1044,AKT!$C$4:$E$324,3,FALSE)</f>
        <v>0150</v>
      </c>
    </row>
    <row r="1045" spans="30:33">
      <c r="AD1045" t="s">
        <v>3447</v>
      </c>
      <c r="AE1045" t="s">
        <v>3448</v>
      </c>
      <c r="AF1045" t="str">
        <f t="shared" si="77"/>
        <v>A622125</v>
      </c>
      <c r="AG1045" t="str">
        <f>VLOOKUP(AF1045,AKT!$C$4:$E$324,3,FALSE)</f>
        <v>0150</v>
      </c>
    </row>
    <row r="1046" spans="30:33">
      <c r="AD1046" t="s">
        <v>3449</v>
      </c>
      <c r="AE1046" t="s">
        <v>3450</v>
      </c>
      <c r="AF1046" t="str">
        <f t="shared" si="77"/>
        <v>A622125</v>
      </c>
      <c r="AG1046" t="str">
        <f>VLOOKUP(AF1046,AKT!$C$4:$E$324,3,FALSE)</f>
        <v>0150</v>
      </c>
    </row>
    <row r="1047" spans="30:33">
      <c r="AD1047" t="s">
        <v>3451</v>
      </c>
      <c r="AE1047" t="s">
        <v>3452</v>
      </c>
      <c r="AF1047" t="str">
        <f t="shared" si="77"/>
        <v>A622125</v>
      </c>
      <c r="AG1047" t="str">
        <f>VLOOKUP(AF1047,AKT!$C$4:$E$324,3,FALSE)</f>
        <v>0150</v>
      </c>
    </row>
    <row r="1048" spans="30:33">
      <c r="AD1048" t="s">
        <v>3453</v>
      </c>
      <c r="AE1048" t="s">
        <v>3454</v>
      </c>
      <c r="AF1048" t="str">
        <f t="shared" si="77"/>
        <v>A622125</v>
      </c>
      <c r="AG1048" t="str">
        <f>VLOOKUP(AF1048,AKT!$C$4:$E$324,3,FALSE)</f>
        <v>0150</v>
      </c>
    </row>
    <row r="1049" spans="30:33">
      <c r="AD1049" t="s">
        <v>3455</v>
      </c>
      <c r="AE1049" t="s">
        <v>3456</v>
      </c>
      <c r="AF1049" t="str">
        <f t="shared" si="77"/>
        <v>A622125</v>
      </c>
      <c r="AG1049" t="str">
        <f>VLOOKUP(AF1049,AKT!$C$4:$E$324,3,FALSE)</f>
        <v>0150</v>
      </c>
    </row>
    <row r="1050" spans="30:33">
      <c r="AD1050" t="s">
        <v>3457</v>
      </c>
      <c r="AE1050" t="s">
        <v>3458</v>
      </c>
      <c r="AF1050" t="str">
        <f t="shared" si="77"/>
        <v>A622125</v>
      </c>
      <c r="AG1050" t="str">
        <f>VLOOKUP(AF1050,AKT!$C$4:$E$324,3,FALSE)</f>
        <v>0150</v>
      </c>
    </row>
    <row r="1051" spans="30:33">
      <c r="AD1051" t="s">
        <v>3459</v>
      </c>
      <c r="AE1051" t="s">
        <v>3460</v>
      </c>
      <c r="AF1051" t="str">
        <f t="shared" si="77"/>
        <v>A622125</v>
      </c>
      <c r="AG1051" t="str">
        <f>VLOOKUP(AF1051,AKT!$C$4:$E$324,3,FALSE)</f>
        <v>0150</v>
      </c>
    </row>
    <row r="1052" spans="30:33">
      <c r="AD1052" t="s">
        <v>3461</v>
      </c>
      <c r="AE1052" t="s">
        <v>3462</v>
      </c>
      <c r="AF1052" t="str">
        <f t="shared" si="77"/>
        <v>A622125</v>
      </c>
      <c r="AG1052" t="str">
        <f>VLOOKUP(AF1052,AKT!$C$4:$E$324,3,FALSE)</f>
        <v>0150</v>
      </c>
    </row>
    <row r="1053" spans="30:33">
      <c r="AD1053" t="s">
        <v>3463</v>
      </c>
      <c r="AE1053" t="s">
        <v>3464</v>
      </c>
      <c r="AF1053" t="str">
        <f t="shared" si="77"/>
        <v>A622125</v>
      </c>
      <c r="AG1053" t="str">
        <f>VLOOKUP(AF1053,AKT!$C$4:$E$324,3,FALSE)</f>
        <v>0150</v>
      </c>
    </row>
    <row r="1054" spans="30:33">
      <c r="AD1054" t="s">
        <v>3465</v>
      </c>
      <c r="AE1054" t="s">
        <v>3079</v>
      </c>
      <c r="AF1054" t="str">
        <f t="shared" si="77"/>
        <v>A622125</v>
      </c>
      <c r="AG1054" t="str">
        <f>VLOOKUP(AF1054,AKT!$C$4:$E$324,3,FALSE)</f>
        <v>0150</v>
      </c>
    </row>
    <row r="1055" spans="30:33">
      <c r="AD1055" t="s">
        <v>3466</v>
      </c>
      <c r="AE1055" t="s">
        <v>3467</v>
      </c>
      <c r="AF1055" t="str">
        <f t="shared" si="77"/>
        <v>A622125</v>
      </c>
      <c r="AG1055" t="str">
        <f>VLOOKUP(AF1055,AKT!$C$4:$E$324,3,FALSE)</f>
        <v>0150</v>
      </c>
    </row>
    <row r="1056" spans="30:33">
      <c r="AD1056" t="s">
        <v>3468</v>
      </c>
      <c r="AE1056" t="s">
        <v>3469</v>
      </c>
      <c r="AF1056" t="str">
        <f t="shared" si="77"/>
        <v>A622125</v>
      </c>
      <c r="AG1056" t="str">
        <f>VLOOKUP(AF1056,AKT!$C$4:$E$324,3,FALSE)</f>
        <v>0150</v>
      </c>
    </row>
    <row r="1057" spans="30:33">
      <c r="AD1057" t="s">
        <v>3470</v>
      </c>
      <c r="AE1057" t="s">
        <v>3471</v>
      </c>
      <c r="AF1057" t="str">
        <f t="shared" si="77"/>
        <v>A622125</v>
      </c>
      <c r="AG1057" t="str">
        <f>VLOOKUP(AF1057,AKT!$C$4:$E$324,3,FALSE)</f>
        <v>0150</v>
      </c>
    </row>
    <row r="1058" spans="30:33">
      <c r="AD1058" t="s">
        <v>3472</v>
      </c>
      <c r="AE1058" t="s">
        <v>3473</v>
      </c>
      <c r="AF1058" t="str">
        <f t="shared" si="77"/>
        <v>A622125</v>
      </c>
      <c r="AG1058" t="str">
        <f>VLOOKUP(AF1058,AKT!$C$4:$E$324,3,FALSE)</f>
        <v>0150</v>
      </c>
    </row>
    <row r="1059" spans="30:33">
      <c r="AD1059" t="s">
        <v>3474</v>
      </c>
      <c r="AE1059" t="s">
        <v>3475</v>
      </c>
      <c r="AF1059" t="str">
        <f t="shared" si="77"/>
        <v>A622125</v>
      </c>
      <c r="AG1059" t="str">
        <f>VLOOKUP(AF1059,AKT!$C$4:$E$324,3,FALSE)</f>
        <v>0150</v>
      </c>
    </row>
    <row r="1060" spans="30:33">
      <c r="AD1060" t="s">
        <v>3476</v>
      </c>
      <c r="AE1060" t="s">
        <v>3477</v>
      </c>
      <c r="AF1060" t="str">
        <f t="shared" si="77"/>
        <v>A622125</v>
      </c>
      <c r="AG1060" t="str">
        <f>VLOOKUP(AF1060,AKT!$C$4:$E$324,3,FALSE)</f>
        <v>0150</v>
      </c>
    </row>
    <row r="1061" spans="30:33">
      <c r="AD1061" t="s">
        <v>3478</v>
      </c>
      <c r="AE1061" t="s">
        <v>2058</v>
      </c>
      <c r="AF1061" t="str">
        <f t="shared" si="77"/>
        <v>A622125</v>
      </c>
      <c r="AG1061" t="str">
        <f>VLOOKUP(AF1061,AKT!$C$4:$E$324,3,FALSE)</f>
        <v>0150</v>
      </c>
    </row>
    <row r="1062" spans="30:33">
      <c r="AD1062" t="s">
        <v>3479</v>
      </c>
      <c r="AE1062" t="s">
        <v>3480</v>
      </c>
      <c r="AF1062" t="str">
        <f t="shared" si="77"/>
        <v>A622125</v>
      </c>
      <c r="AG1062" t="str">
        <f>VLOOKUP(AF1062,AKT!$C$4:$E$324,3,FALSE)</f>
        <v>0150</v>
      </c>
    </row>
    <row r="1063" spans="30:33">
      <c r="AD1063" t="s">
        <v>3481</v>
      </c>
      <c r="AE1063" t="s">
        <v>3218</v>
      </c>
      <c r="AF1063" t="str">
        <f t="shared" si="77"/>
        <v>K622128</v>
      </c>
      <c r="AG1063" t="str">
        <f>VLOOKUP(AF1063,AKT!$C$4:$E$324,3,FALSE)</f>
        <v>0150</v>
      </c>
    </row>
    <row r="1064" spans="30:33">
      <c r="AD1064" t="s">
        <v>3482</v>
      </c>
      <c r="AE1064" t="s">
        <v>1409</v>
      </c>
      <c r="AF1064" t="str">
        <f t="shared" si="77"/>
        <v>K622128</v>
      </c>
      <c r="AG1064" t="str">
        <f>VLOOKUP(AF1064,AKT!$C$4:$E$324,3,FALSE)</f>
        <v>0150</v>
      </c>
    </row>
    <row r="1065" spans="30:33">
      <c r="AD1065" t="s">
        <v>3483</v>
      </c>
      <c r="AE1065" t="s">
        <v>3484</v>
      </c>
      <c r="AF1065" t="str">
        <f t="shared" si="77"/>
        <v>K622128</v>
      </c>
      <c r="AG1065" t="str">
        <f>VLOOKUP(AF1065,AKT!$C$4:$E$324,3,FALSE)</f>
        <v>0150</v>
      </c>
    </row>
    <row r="1066" spans="30:33">
      <c r="AD1066" t="s">
        <v>3485</v>
      </c>
      <c r="AE1066" t="s">
        <v>3221</v>
      </c>
      <c r="AF1066" t="str">
        <f t="shared" si="77"/>
        <v>K622128</v>
      </c>
      <c r="AG1066" t="str">
        <f>VLOOKUP(AF1066,AKT!$C$4:$E$324,3,FALSE)</f>
        <v>0150</v>
      </c>
    </row>
    <row r="1067" spans="30:33">
      <c r="AD1067" t="s">
        <v>3486</v>
      </c>
      <c r="AE1067" t="s">
        <v>3487</v>
      </c>
      <c r="AF1067" t="str">
        <f t="shared" si="77"/>
        <v>K622128</v>
      </c>
      <c r="AG1067" t="str">
        <f>VLOOKUP(AF1067,AKT!$C$4:$E$324,3,FALSE)</f>
        <v>0150</v>
      </c>
    </row>
    <row r="1068" spans="30:33">
      <c r="AD1068" t="s">
        <v>3488</v>
      </c>
      <c r="AE1068" t="s">
        <v>1403</v>
      </c>
      <c r="AF1068" t="str">
        <f t="shared" si="77"/>
        <v>K622128</v>
      </c>
      <c r="AG1068" t="str">
        <f>VLOOKUP(AF1068,AKT!$C$4:$E$324,3,FALSE)</f>
        <v>0150</v>
      </c>
    </row>
    <row r="1069" spans="30:33">
      <c r="AD1069" t="s">
        <v>3489</v>
      </c>
      <c r="AE1069" t="s">
        <v>3173</v>
      </c>
      <c r="AF1069" t="str">
        <f t="shared" si="77"/>
        <v>K622128</v>
      </c>
      <c r="AG1069" t="str">
        <f>VLOOKUP(AF1069,AKT!$C$4:$E$324,3,FALSE)</f>
        <v>0150</v>
      </c>
    </row>
    <row r="1070" spans="30:33">
      <c r="AD1070" t="s">
        <v>3490</v>
      </c>
      <c r="AE1070" t="s">
        <v>1414</v>
      </c>
      <c r="AF1070" t="str">
        <f t="shared" si="77"/>
        <v>K622128</v>
      </c>
      <c r="AG1070" t="str">
        <f>VLOOKUP(AF1070,AKT!$C$4:$E$324,3,FALSE)</f>
        <v>0150</v>
      </c>
    </row>
    <row r="1071" spans="30:33">
      <c r="AD1071" t="s">
        <v>3491</v>
      </c>
      <c r="AE1071" t="s">
        <v>3492</v>
      </c>
      <c r="AF1071" t="str">
        <f t="shared" si="77"/>
        <v>K628080</v>
      </c>
      <c r="AG1071" t="str">
        <f>VLOOKUP(AF1071,AKT!$C$4:$E$324,3,FALSE)</f>
        <v>0970</v>
      </c>
    </row>
    <row r="1072" spans="30:33">
      <c r="AD1072" t="s">
        <v>3493</v>
      </c>
      <c r="AE1072" t="s">
        <v>3494</v>
      </c>
      <c r="AF1072" t="str">
        <f t="shared" si="77"/>
        <v>K628080</v>
      </c>
      <c r="AG1072" t="str">
        <f>VLOOKUP(AF1072,AKT!$C$4:$E$324,3,FALSE)</f>
        <v>0970</v>
      </c>
    </row>
    <row r="1073" spans="30:33">
      <c r="AD1073" t="s">
        <v>3495</v>
      </c>
      <c r="AE1073" t="s">
        <v>3496</v>
      </c>
      <c r="AF1073" t="str">
        <f t="shared" si="77"/>
        <v>K628081</v>
      </c>
      <c r="AG1073" t="str">
        <f>VLOOKUP(AF1073,AKT!$C$4:$E$324,3,FALSE)</f>
        <v>0970</v>
      </c>
    </row>
    <row r="1074" spans="30:33">
      <c r="AD1074" t="s">
        <v>3497</v>
      </c>
      <c r="AE1074" t="s">
        <v>1467</v>
      </c>
      <c r="AF1074" t="str">
        <f t="shared" si="77"/>
        <v>K628081</v>
      </c>
      <c r="AG1074" t="str">
        <f>VLOOKUP(AF1074,AKT!$C$4:$E$324,3,FALSE)</f>
        <v>0970</v>
      </c>
    </row>
    <row r="1075" spans="30:33">
      <c r="AD1075" t="s">
        <v>3498</v>
      </c>
      <c r="AE1075" t="s">
        <v>3494</v>
      </c>
      <c r="AF1075" t="str">
        <f t="shared" si="77"/>
        <v>K628081</v>
      </c>
      <c r="AG1075" t="str">
        <f>VLOOKUP(AF1075,AKT!$C$4:$E$324,3,FALSE)</f>
        <v>0970</v>
      </c>
    </row>
    <row r="1076" spans="30:33">
      <c r="AD1076" t="s">
        <v>3499</v>
      </c>
      <c r="AE1076" t="s">
        <v>3500</v>
      </c>
      <c r="AF1076" t="str">
        <f t="shared" si="77"/>
        <v>K628087</v>
      </c>
      <c r="AG1076" t="str">
        <f>VLOOKUP(AF1076,AKT!$C$4:$E$324,3,FALSE)</f>
        <v>0133</v>
      </c>
    </row>
    <row r="1077" spans="30:33">
      <c r="AD1077" t="s">
        <v>3501</v>
      </c>
      <c r="AE1077" t="s">
        <v>3502</v>
      </c>
      <c r="AF1077" t="str">
        <f t="shared" si="77"/>
        <v>K628087</v>
      </c>
      <c r="AG1077" t="str">
        <f>VLOOKUP(AF1077,AKT!$C$4:$E$324,3,FALSE)</f>
        <v>0133</v>
      </c>
    </row>
    <row r="1078" spans="30:33">
      <c r="AD1078" t="s">
        <v>3503</v>
      </c>
      <c r="AE1078" t="s">
        <v>3504</v>
      </c>
      <c r="AF1078" t="str">
        <f t="shared" si="77"/>
        <v>K848038</v>
      </c>
      <c r="AG1078" t="str">
        <f>VLOOKUP(AF1078,AKT!$C$4:$E$324,3,FALSE)</f>
        <v>0950</v>
      </c>
    </row>
    <row r="1079" spans="30:33">
      <c r="AD1079" t="s">
        <v>3505</v>
      </c>
      <c r="AE1079" t="s">
        <v>3506</v>
      </c>
      <c r="AF1079" t="str">
        <f t="shared" si="77"/>
        <v>K848038</v>
      </c>
      <c r="AG1079" t="str">
        <f>VLOOKUP(AF1079,AKT!$C$4:$E$324,3,FALSE)</f>
        <v>0950</v>
      </c>
    </row>
    <row r="1080" spans="30:33">
      <c r="AD1080" t="s">
        <v>3507</v>
      </c>
      <c r="AE1080" t="s">
        <v>3508</v>
      </c>
      <c r="AF1080" t="str">
        <f t="shared" si="77"/>
        <v>K848038</v>
      </c>
      <c r="AG1080" t="str">
        <f>VLOOKUP(AF1080,AKT!$C$4:$E$324,3,FALSE)</f>
        <v>0950</v>
      </c>
    </row>
    <row r="1081" spans="30:33">
      <c r="AD1081" t="s">
        <v>3509</v>
      </c>
      <c r="AE1081" t="s">
        <v>3510</v>
      </c>
      <c r="AF1081" t="str">
        <f t="shared" si="77"/>
        <v>K848038</v>
      </c>
      <c r="AG1081" t="str">
        <f>VLOOKUP(AF1081,AKT!$C$4:$E$324,3,FALSE)</f>
        <v>0950</v>
      </c>
    </row>
    <row r="1082" spans="30:33">
      <c r="AD1082" t="s">
        <v>3511</v>
      </c>
      <c r="AE1082" t="s">
        <v>3512</v>
      </c>
      <c r="AF1082" t="str">
        <f t="shared" si="77"/>
        <v>K848038</v>
      </c>
      <c r="AG1082" t="str">
        <f>VLOOKUP(AF1082,AKT!$C$4:$E$324,3,FALSE)</f>
        <v>0950</v>
      </c>
    </row>
    <row r="1083" spans="30:33">
      <c r="AD1083" t="s">
        <v>3513</v>
      </c>
      <c r="AE1083" t="s">
        <v>3514</v>
      </c>
      <c r="AF1083" t="str">
        <f t="shared" si="77"/>
        <v>K848038</v>
      </c>
      <c r="AG1083" t="str">
        <f>VLOOKUP(AF1083,AKT!$C$4:$E$324,3,FALSE)</f>
        <v>0950</v>
      </c>
    </row>
    <row r="1084" spans="30:33">
      <c r="AD1084" t="s">
        <v>3515</v>
      </c>
      <c r="AE1084" t="s">
        <v>1449</v>
      </c>
      <c r="AF1084" t="str">
        <f t="shared" si="77"/>
        <v>K733069</v>
      </c>
      <c r="AG1084" t="str">
        <f>VLOOKUP(AF1084,AKT!$C$4:$E$324,3,FALSE)</f>
        <v>0150</v>
      </c>
    </row>
    <row r="1085" spans="30:33">
      <c r="AD1085" t="s">
        <v>3516</v>
      </c>
      <c r="AE1085" t="s">
        <v>1451</v>
      </c>
      <c r="AF1085" t="str">
        <f t="shared" si="77"/>
        <v>K733069</v>
      </c>
      <c r="AG1085" t="str">
        <f>VLOOKUP(AF1085,AKT!$C$4:$E$324,3,FALSE)</f>
        <v>0150</v>
      </c>
    </row>
  </sheetData>
  <sheetProtection selectLockedCells="1"/>
  <autoFilter ref="A2:AG496" xr:uid="{00000000-0001-0000-0300-000000000000}">
    <filterColumn colId="0">
      <filters blank="1">
        <filter val="51"/>
      </filters>
    </filterColumn>
  </autoFilter>
  <sortState xmlns:xlrd2="http://schemas.microsoft.com/office/spreadsheetml/2017/richdata2" ref="AD7:AE234">
    <sortCondition ref="AD7"/>
  </sortState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496" xr:uid="{00000000-0002-0000-0300-000000000000}">
      <formula1>$X$5:$X$124</formula1>
    </dataValidation>
    <dataValidation type="whole" allowBlank="1" showInputMessage="1" showErrorMessage="1" errorTitle="GREŠKA" error="U ovo polje je dozvoljen unos samo brojčanih vrijednosti (bez decimala!)" sqref="H3:J496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496" xr:uid="{00000000-0002-0000-0300-000002000000}">
      <formula1>$U$6:$U$23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496" xr:uid="{00000000-0002-0000-0300-000003000000}">
      <formula1>$AD$6:$AD$1085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P3:P496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64"/>
  <sheetViews>
    <sheetView showGridLines="0" zoomScale="80" zoomScaleNormal="80" workbookViewId="0">
      <pane xSplit="1" ySplit="6" topLeftCell="B7" activePane="bottomRight" state="frozen"/>
      <selection pane="bottomRight" activeCell="I52" sqref="I52"/>
      <selection pane="bottomLeft" activeCell="A7" sqref="A7"/>
      <selection pane="topRight" activeCell="B1" sqref="B1"/>
    </sheetView>
  </sheetViews>
  <sheetFormatPr defaultColWidth="11.42578125" defaultRowHeight="12.75"/>
  <cols>
    <col min="1" max="1" width="8.28515625" style="1" customWidth="1"/>
    <col min="2" max="2" width="59" style="1" customWidth="1"/>
    <col min="3" max="3" width="14.85546875" style="1" customWidth="1"/>
    <col min="4" max="7" width="13.85546875" style="1" customWidth="1"/>
    <col min="8" max="8" width="13.85546875" style="20" customWidth="1"/>
    <col min="9" max="21" width="13.85546875" style="1" customWidth="1"/>
    <col min="22" max="22" width="7.85546875" style="1" customWidth="1"/>
    <col min="23" max="16384" width="11.42578125" style="1"/>
  </cols>
  <sheetData>
    <row r="1" spans="1:21" ht="15.6" customHeight="1">
      <c r="A1" s="271" t="s">
        <v>3517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</row>
    <row r="2" spans="1:21" ht="15.6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1:21" ht="15.6" customHeight="1">
      <c r="A3" s="271" t="s">
        <v>3518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</row>
    <row r="4" spans="1:21" ht="15.6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</row>
    <row r="5" spans="1:21" ht="15.6" customHeight="1">
      <c r="A5" s="271" t="s">
        <v>3519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</row>
    <row r="6" spans="1:21" s="31" customFormat="1" ht="15">
      <c r="A6" s="30"/>
      <c r="B6" s="30"/>
      <c r="C6" s="30"/>
      <c r="R6" s="32"/>
      <c r="U6" s="159" t="s">
        <v>58</v>
      </c>
    </row>
    <row r="7" spans="1:21" s="31" customFormat="1" ht="89.25">
      <c r="A7" s="33" t="s">
        <v>3520</v>
      </c>
      <c r="B7" s="33" t="s">
        <v>3521</v>
      </c>
      <c r="C7" s="156" t="s">
        <v>3522</v>
      </c>
      <c r="D7" s="119" t="s">
        <v>3523</v>
      </c>
      <c r="E7" s="119" t="s">
        <v>3524</v>
      </c>
      <c r="F7" s="119" t="s">
        <v>3525</v>
      </c>
      <c r="G7" s="119" t="s">
        <v>3526</v>
      </c>
      <c r="H7" s="119" t="s">
        <v>3527</v>
      </c>
      <c r="I7" s="119" t="s">
        <v>3528</v>
      </c>
      <c r="J7" s="119" t="s">
        <v>3529</v>
      </c>
      <c r="K7" s="119" t="s">
        <v>3530</v>
      </c>
      <c r="L7" s="119" t="s">
        <v>3531</v>
      </c>
      <c r="M7" s="119" t="s">
        <v>3532</v>
      </c>
      <c r="N7" s="119" t="s">
        <v>3533</v>
      </c>
      <c r="O7" s="119" t="s">
        <v>3534</v>
      </c>
      <c r="P7" s="119" t="s">
        <v>3535</v>
      </c>
      <c r="Q7" s="119" t="s">
        <v>3536</v>
      </c>
      <c r="R7" s="2" t="s">
        <v>3537</v>
      </c>
      <c r="S7" s="119" t="s">
        <v>3538</v>
      </c>
      <c r="T7" s="2" t="s">
        <v>3539</v>
      </c>
      <c r="U7" s="2" t="s">
        <v>3540</v>
      </c>
    </row>
    <row r="8" spans="1:21" s="31" customFormat="1" ht="20.25" customHeight="1">
      <c r="A8" s="258">
        <v>2022</v>
      </c>
      <c r="B8" s="258" t="s">
        <v>62</v>
      </c>
      <c r="C8" s="47">
        <f>SUM(D8:U8)</f>
        <v>2510844</v>
      </c>
      <c r="D8" s="47">
        <f>+D30+D27</f>
        <v>1835966</v>
      </c>
      <c r="E8" s="47">
        <f>+E30+E27</f>
        <v>4915</v>
      </c>
      <c r="F8" s="47">
        <f>+F30+F27</f>
        <v>94204</v>
      </c>
      <c r="G8" s="47">
        <f t="shared" ref="G8:U8" si="0">+G30+G27</f>
        <v>0</v>
      </c>
      <c r="H8" s="47">
        <f t="shared" si="0"/>
        <v>504256</v>
      </c>
      <c r="I8" s="47">
        <f>+I30+I27</f>
        <v>10000</v>
      </c>
      <c r="J8" s="47">
        <f t="shared" si="0"/>
        <v>29754</v>
      </c>
      <c r="K8" s="47">
        <f t="shared" si="0"/>
        <v>0</v>
      </c>
      <c r="L8" s="47">
        <f t="shared" si="0"/>
        <v>0</v>
      </c>
      <c r="M8" s="47">
        <f t="shared" si="0"/>
        <v>27852</v>
      </c>
      <c r="N8" s="47">
        <f t="shared" si="0"/>
        <v>0</v>
      </c>
      <c r="O8" s="47">
        <f t="shared" si="0"/>
        <v>0</v>
      </c>
      <c r="P8" s="47">
        <f t="shared" si="0"/>
        <v>0</v>
      </c>
      <c r="Q8" s="47">
        <f t="shared" si="0"/>
        <v>0</v>
      </c>
      <c r="R8" s="47">
        <f t="shared" si="0"/>
        <v>0</v>
      </c>
      <c r="S8" s="47">
        <f t="shared" si="0"/>
        <v>3897</v>
      </c>
      <c r="T8" s="47">
        <f t="shared" si="0"/>
        <v>0</v>
      </c>
      <c r="U8" s="47">
        <f t="shared" si="0"/>
        <v>0</v>
      </c>
    </row>
    <row r="9" spans="1:21" s="31" customFormat="1">
      <c r="A9" s="36" t="s">
        <v>3541</v>
      </c>
      <c r="B9" s="44" t="s">
        <v>3542</v>
      </c>
      <c r="C9" s="23">
        <f t="shared" ref="C9:C29" si="1">SUM(D9:U9)</f>
        <v>0</v>
      </c>
      <c r="D9" s="104">
        <f>SUMIFS('Unos prihoda i primitaka'!$G$3:$G$501,'Unos prihoda i primitaka'!$C$3:$C$501,"=11",'Unos prihoda i primitaka'!$L$3:$L$501,"=61")</f>
        <v>0</v>
      </c>
      <c r="E9" s="104">
        <f>SUMIFS('Unos prihoda i primitaka'!$G$3:$G$501,'Unos prihoda i primitaka'!$C$3:$C$501,"=12",'Unos prihoda i primitaka'!$L$3:$L$501,"=61")</f>
        <v>0</v>
      </c>
      <c r="F9" s="104">
        <f>SUMIFS('Unos prihoda i primitaka'!$G$3:$G$501,'Unos prihoda i primitaka'!$C$3:$C$501,"=31",'Unos prihoda i primitaka'!$L$3:$L$501,"=61")</f>
        <v>0</v>
      </c>
      <c r="G9" s="104">
        <f>SUMIFS('Unos prihoda i primitaka'!$G$3:$G$501,'Unos prihoda i primitaka'!$C$3:$C$501,"=41",'Unos prihoda i primitaka'!$L$3:$L$501,"=61")</f>
        <v>0</v>
      </c>
      <c r="H9" s="104">
        <f>SUMIFS('Unos prihoda i primitaka'!$G$3:$G$501,'Unos prihoda i primitaka'!$C$3:$C$501,"=43",'Unos prihoda i primitaka'!$L$3:$L$501,"=61")</f>
        <v>0</v>
      </c>
      <c r="I9" s="104">
        <f>SUMIFS('Unos prihoda i primitaka'!$G$3:$G$501,'Unos prihoda i primitaka'!$C$3:$C$501,"=51",'Unos prihoda i primitaka'!$L$3:$L$501,"=61")</f>
        <v>0</v>
      </c>
      <c r="J9" s="104">
        <f>SUMIFS('Unos prihoda i primitaka'!$G$3:$G$501,'Unos prihoda i primitaka'!$C$3:$C$501,"=52",'Unos prihoda i primitaka'!$L$3:$L$501,"=61")</f>
        <v>0</v>
      </c>
      <c r="K9" s="104">
        <f>SUMIFS('Unos prihoda i primitaka'!$G$3:$G$501,'Unos prihoda i primitaka'!$C$3:$C$501,"=552",'Unos prihoda i primitaka'!$L$3:$L$501,"=61")</f>
        <v>0</v>
      </c>
      <c r="L9" s="104">
        <f>SUMIFS('Unos prihoda i primitaka'!$G$3:$G$501,'Unos prihoda i primitaka'!$C$3:$C$501,"=559",'Unos prihoda i primitaka'!$L$3:$L$501,"=61")</f>
        <v>0</v>
      </c>
      <c r="M9" s="104">
        <f>SUMIFS('Unos prihoda i primitaka'!$G$3:$G$501,'Unos prihoda i primitaka'!$C$3:$C$501,"=561",'Unos prihoda i primitaka'!$L$3:$L$501,"=61")</f>
        <v>0</v>
      </c>
      <c r="N9" s="104">
        <f>SUMIFS('Unos prihoda i primitaka'!$G$3:$G$501,'Unos prihoda i primitaka'!$C$3:$C$501,"=563",'Unos prihoda i primitaka'!$L$3:$L$501,"=61")</f>
        <v>0</v>
      </c>
      <c r="O9" s="104">
        <f>SUMIFS('Unos prihoda i primitaka'!$G$3:$G$501,'Unos prihoda i primitaka'!$C$3:$C$501,"=573",'Unos prihoda i primitaka'!$L$3:$L$501,"=61")</f>
        <v>0</v>
      </c>
      <c r="P9" s="104">
        <f>SUMIFS('Unos prihoda i primitaka'!$G$3:$G$501,'Unos prihoda i primitaka'!$C$3:$C$501,"=575",'Unos prihoda i primitaka'!$L$3:$L$501,"=61")</f>
        <v>0</v>
      </c>
      <c r="Q9" s="104">
        <f>SUMIFS('Unos prihoda i primitaka'!$G$3:$G$501,'Unos prihoda i primitaka'!$C$3:$C$501,"=576",'Unos prihoda i primitaka'!$L$3:$L$501,"=61")</f>
        <v>0</v>
      </c>
      <c r="R9" s="104">
        <f>SUMIFS('Unos prihoda i primitaka'!$G$3:$G$501,'Unos prihoda i primitaka'!$C$3:$C$501,"=581",'Unos prihoda i primitaka'!$L$3:$L$501,"=61")</f>
        <v>0</v>
      </c>
      <c r="S9" s="104">
        <f>SUMIFS('Unos prihoda i primitaka'!$G$3:$G$501,'Unos prihoda i primitaka'!$C$3:$C$501,"=61",'Unos prihoda i primitaka'!$L$3:$L$501,"=61")</f>
        <v>0</v>
      </c>
      <c r="T9" s="104">
        <f>SUMIFS('Unos prihoda i primitaka'!$G$3:$G$501,'Unos prihoda i primitaka'!$C$3:$C$501,"=63",'Unos prihoda i primitaka'!$L$3:$L$501,"=61")</f>
        <v>0</v>
      </c>
      <c r="U9" s="104">
        <f>SUMIFS('Unos prihoda i primitaka'!$G$3:$G$501,'Unos prihoda i primitaka'!$C$3:$C$501,"=71",'Unos prihoda i primitaka'!$L$3:$L$501,"=61")</f>
        <v>0</v>
      </c>
    </row>
    <row r="10" spans="1:21" s="31" customFormat="1" ht="12.75" customHeight="1">
      <c r="A10" s="36" t="s">
        <v>3543</v>
      </c>
      <c r="B10" s="44" t="s">
        <v>3544</v>
      </c>
      <c r="C10" s="23">
        <f t="shared" si="1"/>
        <v>67606</v>
      </c>
      <c r="D10" s="104">
        <f>SUMIFS('Unos prihoda i primitaka'!$G$3:$G$501,'Unos prihoda i primitaka'!$C$3:$C$501,"=11",'Unos prihoda i primitaka'!$L$3:$L$501,"=63")</f>
        <v>0</v>
      </c>
      <c r="E10" s="104">
        <f>SUMIFS('Unos prihoda i primitaka'!$G$3:$G$501,'Unos prihoda i primitaka'!$C$3:$C$501,"=12",'Unos prihoda i primitaka'!$L$3:$L$501,"=63")</f>
        <v>0</v>
      </c>
      <c r="F10" s="104">
        <f>SUMIFS('Unos prihoda i primitaka'!$G$3:$G$501,'Unos prihoda i primitaka'!$C$3:$C$501,"=31",'Unos prihoda i primitaka'!$L$3:$L$501,"=63")</f>
        <v>0</v>
      </c>
      <c r="G10" s="104">
        <f>SUMIFS('Unos prihoda i primitaka'!$G$3:$G$501,'Unos prihoda i primitaka'!$C$3:$C$501,"=41",'Unos prihoda i primitaka'!$L$3:$L$501,"=63")</f>
        <v>0</v>
      </c>
      <c r="H10" s="104">
        <f>SUMIFS('Unos prihoda i primitaka'!$G$3:$G$501,'Unos prihoda i primitaka'!$C$3:$C$501,"=43",'Unos prihoda i primitaka'!$L$3:$L$501,"=63")</f>
        <v>0</v>
      </c>
      <c r="I10" s="104">
        <f>SUMIFS('Unos prihoda i primitaka'!$G$3:$G$501,'Unos prihoda i primitaka'!$C$3:$C$501,"=51",'Unos prihoda i primitaka'!$L$3:$L$501,"=63")</f>
        <v>10000</v>
      </c>
      <c r="J10" s="104">
        <f>SUMIFS('Unos prihoda i primitaka'!$G$3:$G$501,'Unos prihoda i primitaka'!$C$3:$C$501,"=52",'Unos prihoda i primitaka'!$L$3:$L$501,"=63")</f>
        <v>29754</v>
      </c>
      <c r="K10" s="104">
        <f>SUMIFS('Unos prihoda i primitaka'!$G$3:$G$501,'Unos prihoda i primitaka'!$C$3:$C$501,"=552",'Unos prihoda i primitaka'!$L$3:$L$501,"=63")</f>
        <v>0</v>
      </c>
      <c r="L10" s="104">
        <f>SUMIFS('Unos prihoda i primitaka'!$G$3:$G$501,'Unos prihoda i primitaka'!$C$3:$C$501,"=559",'Unos prihoda i primitaka'!$L$3:$L$501,"=63")</f>
        <v>0</v>
      </c>
      <c r="M10" s="104">
        <f>SUMIFS('Unos prihoda i primitaka'!$G$3:$G$501,'Unos prihoda i primitaka'!$C$3:$C$501,"=561",'Unos prihoda i primitaka'!$L$3:$L$501,"=63")</f>
        <v>27852</v>
      </c>
      <c r="N10" s="104">
        <f>SUMIFS('Unos prihoda i primitaka'!$G$3:$G$501,'Unos prihoda i primitaka'!$C$3:$C$501,"=563",'Unos prihoda i primitaka'!$L$3:$L$501,"=63")</f>
        <v>0</v>
      </c>
      <c r="O10" s="104">
        <f>SUMIFS('Unos prihoda i primitaka'!$G$3:$G$501,'Unos prihoda i primitaka'!$C$3:$C$501,"=573",'Unos prihoda i primitaka'!$L$3:$L$501,"=63")</f>
        <v>0</v>
      </c>
      <c r="P10" s="104">
        <f>SUMIFS('Unos prihoda i primitaka'!$G$3:$G$501,'Unos prihoda i primitaka'!$C$3:$C$501,"=575",'Unos prihoda i primitaka'!$L$3:$L$501,"=63")</f>
        <v>0</v>
      </c>
      <c r="Q10" s="104">
        <f>SUMIFS('Unos prihoda i primitaka'!$G$3:$G$501,'Unos prihoda i primitaka'!$C$3:$C$501,"=576",'Unos prihoda i primitaka'!$L$3:$L$501,"=63")</f>
        <v>0</v>
      </c>
      <c r="R10" s="104">
        <f>SUMIFS('Unos prihoda i primitaka'!$G$3:$G$501,'Unos prihoda i primitaka'!$C$3:$C$501,"=581",'Unos prihoda i primitaka'!$L$3:$L$501,"=63")</f>
        <v>0</v>
      </c>
      <c r="S10" s="104">
        <f>SUMIFS('Unos prihoda i primitaka'!$G$3:$G$501,'Unos prihoda i primitaka'!$C$3:$C$501,"=61",'Unos prihoda i primitaka'!$L$3:$L$501,"=63")</f>
        <v>0</v>
      </c>
      <c r="T10" s="104">
        <f>SUMIFS('Unos prihoda i primitaka'!$G$3:$G$501,'Unos prihoda i primitaka'!$C$3:$C$501,"=63",'Unos prihoda i primitaka'!$L$3:$L$501,"=63")</f>
        <v>0</v>
      </c>
      <c r="U10" s="104">
        <f>SUMIFS('Unos prihoda i primitaka'!$G$3:$G$501,'Unos prihoda i primitaka'!$C$3:$C$501,"=71",'Unos prihoda i primitaka'!$L$3:$L$501,"=63")</f>
        <v>0</v>
      </c>
    </row>
    <row r="11" spans="1:21" s="31" customFormat="1" ht="12.75" customHeight="1">
      <c r="A11" s="36"/>
      <c r="B11" s="44"/>
      <c r="C11" s="2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s="31" customFormat="1" ht="12.75" customHeight="1">
      <c r="A12" s="36"/>
      <c r="B12" s="44"/>
      <c r="C12" s="2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1" s="31" customFormat="1" ht="12.75" customHeight="1">
      <c r="A13" s="36"/>
      <c r="B13" s="44"/>
      <c r="C13" s="2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1" s="31" customFormat="1">
      <c r="A14" s="34" t="s">
        <v>3545</v>
      </c>
      <c r="B14" s="35" t="s">
        <v>3546</v>
      </c>
      <c r="C14" s="23">
        <f t="shared" si="1"/>
        <v>12</v>
      </c>
      <c r="D14" s="104">
        <f>SUMIFS('Unos prihoda i primitaka'!$G$3:$G$501,'Unos prihoda i primitaka'!$C$3:$C$501,"=11",'Unos prihoda i primitaka'!$L$3:$L$501,"=64")</f>
        <v>0</v>
      </c>
      <c r="E14" s="104">
        <f>SUMIFS('Unos prihoda i primitaka'!$G$3:$G$501,'Unos prihoda i primitaka'!$C$3:$C$501,"=12",'Unos prihoda i primitaka'!$L$3:$L$501,"=64")</f>
        <v>0</v>
      </c>
      <c r="F14" s="104">
        <f>SUMIFS('Unos prihoda i primitaka'!$G$3:$G$501,'Unos prihoda i primitaka'!$C$3:$C$501,"=31",'Unos prihoda i primitaka'!$L$3:$L$501,"=64")</f>
        <v>0</v>
      </c>
      <c r="G14" s="104">
        <f>SUMIFS('Unos prihoda i primitaka'!$G$3:$G$501,'Unos prihoda i primitaka'!$C$3:$C$501,"=41",'Unos prihoda i primitaka'!$L$3:$L$501,"=64")</f>
        <v>0</v>
      </c>
      <c r="H14" s="104">
        <f>SUMIFS('Unos prihoda i primitaka'!$G$3:$G$501,'Unos prihoda i primitaka'!$C$3:$C$501,"=43",'Unos prihoda i primitaka'!$L$3:$L$501,"=64")</f>
        <v>12</v>
      </c>
      <c r="I14" s="104">
        <f>SUMIFS('Unos prihoda i primitaka'!$G$3:$G$501,'Unos prihoda i primitaka'!$C$3:$C$501,"=51",'Unos prihoda i primitaka'!$L$3:$L$501,"=64")</f>
        <v>0</v>
      </c>
      <c r="J14" s="104">
        <f>SUMIFS('Unos prihoda i primitaka'!$G$3:$G$501,'Unos prihoda i primitaka'!$C$3:$C$501,"=52",'Unos prihoda i primitaka'!$L$3:$L$501,"=64")</f>
        <v>0</v>
      </c>
      <c r="K14" s="104">
        <f>SUMIFS('Unos prihoda i primitaka'!$G$3:$G$501,'Unos prihoda i primitaka'!$C$3:$C$501,"=552",'Unos prihoda i primitaka'!$L$3:$L$501,"=64")</f>
        <v>0</v>
      </c>
      <c r="L14" s="104">
        <f>SUMIFS('Unos prihoda i primitaka'!$G$3:$G$501,'Unos prihoda i primitaka'!$C$3:$C$501,"=559",'Unos prihoda i primitaka'!$L$3:$L$501,"=64")</f>
        <v>0</v>
      </c>
      <c r="M14" s="104">
        <f>SUMIFS('Unos prihoda i primitaka'!$G$3:$G$501,'Unos prihoda i primitaka'!$C$3:$C$501,"=561",'Unos prihoda i primitaka'!$L$3:$L$501,"=64")</f>
        <v>0</v>
      </c>
      <c r="N14" s="104">
        <f>SUMIFS('Unos prihoda i primitaka'!$G$3:$G$501,'Unos prihoda i primitaka'!$C$3:$C$501,"=563",'Unos prihoda i primitaka'!$L$3:$L$501,"=64")</f>
        <v>0</v>
      </c>
      <c r="O14" s="104">
        <f>SUMIFS('Unos prihoda i primitaka'!$G$3:$G$501,'Unos prihoda i primitaka'!$C$3:$C$501,"=573",'Unos prihoda i primitaka'!$L$3:$L$501,"=64")</f>
        <v>0</v>
      </c>
      <c r="P14" s="104">
        <f>SUMIFS('Unos prihoda i primitaka'!$G$3:$G$501,'Unos prihoda i primitaka'!$C$3:$C$501,"=575",'Unos prihoda i primitaka'!$L$3:$L$501,"=64")</f>
        <v>0</v>
      </c>
      <c r="Q14" s="104">
        <f>SUMIFS('Unos prihoda i primitaka'!$G$3:$G$501,'Unos prihoda i primitaka'!$C$3:$C$501,"=576",'Unos prihoda i primitaka'!$L$3:$L$501,"=64")</f>
        <v>0</v>
      </c>
      <c r="R14" s="104">
        <f>SUMIFS('Unos prihoda i primitaka'!$G$3:$G$501,'Unos prihoda i primitaka'!$C$3:$C$501,"=581",'Unos prihoda i primitaka'!$L$3:$L$501,"=64")</f>
        <v>0</v>
      </c>
      <c r="S14" s="104">
        <f>SUMIFS('Unos prihoda i primitaka'!$G$3:$G$501,'Unos prihoda i primitaka'!$C$3:$C$501,"=61",'Unos prihoda i primitaka'!$L$3:$L$501,"=64")</f>
        <v>0</v>
      </c>
      <c r="T14" s="104">
        <f>SUMIFS('Unos prihoda i primitaka'!$G$3:$G$501,'Unos prihoda i primitaka'!$C$3:$C$501,"=63",'Unos prihoda i primitaka'!$L$3:$L$501,"=64")</f>
        <v>0</v>
      </c>
      <c r="U14" s="104">
        <f>SUMIFS('Unos prihoda i primitaka'!$G$3:$G$501,'Unos prihoda i primitaka'!$C$3:$C$501,"=71",'Unos prihoda i primitaka'!$L$3:$L$501,"=64")</f>
        <v>0</v>
      </c>
    </row>
    <row r="17" spans="1:21" s="31" customFormat="1" ht="25.5">
      <c r="A17" s="34" t="s">
        <v>3547</v>
      </c>
      <c r="B17" s="35" t="s">
        <v>3548</v>
      </c>
      <c r="C17" s="23">
        <f t="shared" si="1"/>
        <v>504244</v>
      </c>
      <c r="D17" s="104">
        <f>SUMIFS('Unos prihoda i primitaka'!$G$3:$G$501,'Unos prihoda i primitaka'!$C$3:$C$501,"=11",'Unos prihoda i primitaka'!$L$3:$L$501,"=65")</f>
        <v>0</v>
      </c>
      <c r="E17" s="104">
        <f>SUMIFS('Unos prihoda i primitaka'!$G$3:$G$501,'Unos prihoda i primitaka'!$C$3:$C$501,"=12",'Unos prihoda i primitaka'!$L$3:$L$501,"=65")</f>
        <v>0</v>
      </c>
      <c r="F17" s="104">
        <f>SUMIFS('Unos prihoda i primitaka'!$G$3:$G$501,'Unos prihoda i primitaka'!$C$3:$C$501,"=31",'Unos prihoda i primitaka'!$L$3:$L$501,"=65")</f>
        <v>0</v>
      </c>
      <c r="G17" s="104">
        <f>SUMIFS('Unos prihoda i primitaka'!$G$3:$G$501,'Unos prihoda i primitaka'!$C$3:$C$501,"=41",'Unos prihoda i primitaka'!$L$3:$L$501,"=65")</f>
        <v>0</v>
      </c>
      <c r="H17" s="104">
        <f>SUMIFS('Unos prihoda i primitaka'!$G$3:$G$501,'Unos prihoda i primitaka'!$C$3:$C$501,"=43",'Unos prihoda i primitaka'!$L$3:$L$501,"=65")</f>
        <v>504244</v>
      </c>
      <c r="I17" s="104">
        <f>SUMIFS('Unos prihoda i primitaka'!$G$3:$G$501,'Unos prihoda i primitaka'!$C$3:$C$501,"=51",'Unos prihoda i primitaka'!$L$3:$L$501,"=65")</f>
        <v>0</v>
      </c>
      <c r="J17" s="104">
        <f>SUMIFS('Unos prihoda i primitaka'!$G$3:$G$501,'Unos prihoda i primitaka'!$C$3:$C$501,"=52",'Unos prihoda i primitaka'!$L$3:$L$501,"=65")</f>
        <v>0</v>
      </c>
      <c r="K17" s="104">
        <f>SUMIFS('Unos prihoda i primitaka'!$G$3:$G$501,'Unos prihoda i primitaka'!$C$3:$C$501,"=552",'Unos prihoda i primitaka'!$L$3:$L$501,"=65")</f>
        <v>0</v>
      </c>
      <c r="L17" s="104">
        <f>SUMIFS('Unos prihoda i primitaka'!$G$3:$G$501,'Unos prihoda i primitaka'!$C$3:$C$501,"=559",'Unos prihoda i primitaka'!$L$3:$L$501,"=65")</f>
        <v>0</v>
      </c>
      <c r="M17" s="104">
        <f>SUMIFS('Unos prihoda i primitaka'!$G$3:$G$501,'Unos prihoda i primitaka'!$C$3:$C$501,"=561",'Unos prihoda i primitaka'!$L$3:$L$501,"=65")</f>
        <v>0</v>
      </c>
      <c r="N17" s="104">
        <f>SUMIFS('Unos prihoda i primitaka'!$G$3:$G$501,'Unos prihoda i primitaka'!$C$3:$C$501,"=563",'Unos prihoda i primitaka'!$L$3:$L$501,"=65")</f>
        <v>0</v>
      </c>
      <c r="O17" s="104">
        <f>SUMIFS('Unos prihoda i primitaka'!$G$3:$G$501,'Unos prihoda i primitaka'!$C$3:$C$501,"=573",'Unos prihoda i primitaka'!$L$3:$L$501,"=65")</f>
        <v>0</v>
      </c>
      <c r="P17" s="104">
        <f>SUMIFS('Unos prihoda i primitaka'!$G$3:$G$501,'Unos prihoda i primitaka'!$C$3:$C$501,"=575",'Unos prihoda i primitaka'!$L$3:$L$501,"=65")</f>
        <v>0</v>
      </c>
      <c r="Q17" s="104">
        <f>SUMIFS('Unos prihoda i primitaka'!$G$3:$G$501,'Unos prihoda i primitaka'!$C$3:$C$501,"=576",'Unos prihoda i primitaka'!$L$3:$L$501,"=65")</f>
        <v>0</v>
      </c>
      <c r="R17" s="104">
        <f>SUMIFS('Unos prihoda i primitaka'!$G$3:$G$501,'Unos prihoda i primitaka'!$C$3:$C$501,"=581",'Unos prihoda i primitaka'!$L$3:$L$501,"=65")</f>
        <v>0</v>
      </c>
      <c r="S17" s="104">
        <f>SUMIFS('Unos prihoda i primitaka'!$G$3:$G$501,'Unos prihoda i primitaka'!$C$3:$C$501,"=61",'Unos prihoda i primitaka'!$L$3:$L$501,"=65")</f>
        <v>0</v>
      </c>
      <c r="T17" s="104">
        <f>SUMIFS('Unos prihoda i primitaka'!$G$3:$G$501,'Unos prihoda i primitaka'!$C$3:$C$501,"=63",'Unos prihoda i primitaka'!$L$3:$L$501,"=65")</f>
        <v>0</v>
      </c>
      <c r="U17" s="104">
        <f>SUMIFS('Unos prihoda i primitaka'!$G$3:$G$501,'Unos prihoda i primitaka'!$C$3:$C$501,"=71",'Unos prihoda i primitaka'!$L$3:$L$501,"=65")</f>
        <v>0</v>
      </c>
    </row>
    <row r="18" spans="1:21" s="31" customFormat="1">
      <c r="A18" s="34"/>
      <c r="B18" s="35"/>
      <c r="C18" s="23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s="31" customFormat="1">
      <c r="A19" s="34"/>
      <c r="B19" s="35"/>
      <c r="C19" s="2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s="31" customFormat="1">
      <c r="A20" s="34"/>
      <c r="B20" s="35"/>
      <c r="C20" s="2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s="31" customFormat="1" ht="25.5">
      <c r="A21" s="117" t="s">
        <v>3549</v>
      </c>
      <c r="B21" s="35" t="s">
        <v>3550</v>
      </c>
      <c r="C21" s="23">
        <f t="shared" si="1"/>
        <v>98101</v>
      </c>
      <c r="D21" s="104">
        <f>SUMIFS('Unos prihoda i primitaka'!$G$3:$G$501,'Unos prihoda i primitaka'!$C$3:$C$501,"=11",'Unos prihoda i primitaka'!$L$3:$L$501,"=66")</f>
        <v>0</v>
      </c>
      <c r="E21" s="104">
        <f>SUMIFS('Unos prihoda i primitaka'!$G$3:$G$501,'Unos prihoda i primitaka'!$C$3:$C$501,"=12",'Unos prihoda i primitaka'!$L$3:$L$501,"=66")</f>
        <v>0</v>
      </c>
      <c r="F21" s="104">
        <f>SUMIFS('Unos prihoda i primitaka'!$G$3:$G$501,'Unos prihoda i primitaka'!$C$3:$C$501,"=31",'Unos prihoda i primitaka'!$L$3:$L$501,"=66")</f>
        <v>94204</v>
      </c>
      <c r="G21" s="104">
        <f>SUMIFS('Unos prihoda i primitaka'!$G$3:$G$501,'Unos prihoda i primitaka'!$C$3:$C$501,"=41",'Unos prihoda i primitaka'!$L$3:$L$501,"=66")</f>
        <v>0</v>
      </c>
      <c r="H21" s="104">
        <f>SUMIFS('Unos prihoda i primitaka'!$G$3:$G$501,'Unos prihoda i primitaka'!$C$3:$C$501,"=43",'Unos prihoda i primitaka'!$L$3:$L$501,"=66")</f>
        <v>0</v>
      </c>
      <c r="I21" s="104">
        <f>SUMIFS('Unos prihoda i primitaka'!$G$3:$G$501,'Unos prihoda i primitaka'!$C$3:$C$501,"=51",'Unos prihoda i primitaka'!$L$3:$L$501,"=66")</f>
        <v>0</v>
      </c>
      <c r="J21" s="104">
        <f>SUMIFS('Unos prihoda i primitaka'!$G$3:$G$501,'Unos prihoda i primitaka'!$C$3:$C$501,"=52",'Unos prihoda i primitaka'!$L$3:$L$501,"=66")</f>
        <v>0</v>
      </c>
      <c r="K21" s="104">
        <f>SUMIFS('Unos prihoda i primitaka'!$G$3:$G$501,'Unos prihoda i primitaka'!$C$3:$C$501,"=552",'Unos prihoda i primitaka'!$L$3:$L$501,"=66")</f>
        <v>0</v>
      </c>
      <c r="L21" s="104">
        <f>SUMIFS('Unos prihoda i primitaka'!$G$3:$G$501,'Unos prihoda i primitaka'!$C$3:$C$501,"=559",'Unos prihoda i primitaka'!$L$3:$L$501,"=66")</f>
        <v>0</v>
      </c>
      <c r="M21" s="104">
        <f>SUMIFS('Unos prihoda i primitaka'!$G$3:$G$501,'Unos prihoda i primitaka'!$C$3:$C$501,"=561",'Unos prihoda i primitaka'!$L$3:$L$501,"=66")</f>
        <v>0</v>
      </c>
      <c r="N21" s="104">
        <f>SUMIFS('Unos prihoda i primitaka'!$G$3:$G$501,'Unos prihoda i primitaka'!$C$3:$C$501,"=563",'Unos prihoda i primitaka'!$L$3:$L$501,"=66")</f>
        <v>0</v>
      </c>
      <c r="O21" s="104">
        <f>SUMIFS('Unos prihoda i primitaka'!$G$3:$G$501,'Unos prihoda i primitaka'!$C$3:$C$501,"=573",'Unos prihoda i primitaka'!$L$3:$L$501,"=66")</f>
        <v>0</v>
      </c>
      <c r="P21" s="104">
        <f>SUMIFS('Unos prihoda i primitaka'!$G$3:$G$501,'Unos prihoda i primitaka'!$C$3:$C$501,"=575",'Unos prihoda i primitaka'!$L$3:$L$501,"=66")</f>
        <v>0</v>
      </c>
      <c r="Q21" s="104">
        <f>SUMIFS('Unos prihoda i primitaka'!$G$3:$G$501,'Unos prihoda i primitaka'!$C$3:$C$501,"=576",'Unos prihoda i primitaka'!$L$3:$L$501,"=66")</f>
        <v>0</v>
      </c>
      <c r="R21" s="104">
        <f>SUMIFS('Unos prihoda i primitaka'!$G$3:$G$501,'Unos prihoda i primitaka'!$C$3:$C$501,"=581",'Unos prihoda i primitaka'!$L$3:$L$501,"=66")</f>
        <v>0</v>
      </c>
      <c r="S21" s="104">
        <f>SUMIFS('Unos prihoda i primitaka'!$G$3:$G$501,'Unos prihoda i primitaka'!$C$3:$C$501,"=61",'Unos prihoda i primitaka'!$L$3:$L$501,"=66")</f>
        <v>3897</v>
      </c>
      <c r="T21" s="104">
        <f>SUMIFS('Unos prihoda i primitaka'!$G$3:$G$501,'Unos prihoda i primitaka'!$C$3:$C$501,"=63",'Unos prihoda i primitaka'!$L$3:$L$501,"=66")</f>
        <v>0</v>
      </c>
      <c r="U21" s="104">
        <f>SUMIFS('Unos prihoda i primitaka'!$G$3:$G$501,'Unos prihoda i primitaka'!$C$3:$C$501,"=71",'Unos prihoda i primitaka'!$L$3:$L$501,"=66")</f>
        <v>0</v>
      </c>
    </row>
    <row r="22" spans="1:21" s="31" customFormat="1">
      <c r="A22" s="117"/>
      <c r="B22" s="35"/>
      <c r="C22" s="2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21" s="31" customFormat="1">
      <c r="A23" s="117"/>
      <c r="B23" s="35"/>
      <c r="C23" s="2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21" s="31" customFormat="1">
      <c r="A24" s="117"/>
      <c r="B24" s="35"/>
      <c r="C24" s="2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1" s="31" customFormat="1">
      <c r="A25" s="34" t="s">
        <v>3551</v>
      </c>
      <c r="B25" s="35" t="s">
        <v>3552</v>
      </c>
      <c r="C25" s="23">
        <f t="shared" si="1"/>
        <v>1840881</v>
      </c>
      <c r="D25" s="104">
        <f>SUMIFS('Unos prihoda i primitaka'!$G$3:$G$501,'Unos prihoda i primitaka'!$C$3:$C$501,"=11",'Unos prihoda i primitaka'!$L$3:$L$501,"=67")</f>
        <v>1835966</v>
      </c>
      <c r="E25" s="104">
        <f>SUMIFS('Unos prihoda i primitaka'!$G$3:$G$501,'Unos prihoda i primitaka'!$C$3:$C$501,"=12",'Unos prihoda i primitaka'!$L$3:$L$501,"=67")</f>
        <v>4915</v>
      </c>
      <c r="F25" s="104">
        <f>SUMIFS('Unos prihoda i primitaka'!$G$3:$G$501,'Unos prihoda i primitaka'!$C$3:$C$501,"=31",'Unos prihoda i primitaka'!$L$3:$L$501,"=67")</f>
        <v>0</v>
      </c>
      <c r="G25" s="104">
        <f>SUMIFS('Unos prihoda i primitaka'!$G$3:$G$501,'Unos prihoda i primitaka'!$C$3:$C$501,"=41",'Unos prihoda i primitaka'!$L$3:$L$501,"=67")</f>
        <v>0</v>
      </c>
      <c r="H25" s="104">
        <f>SUMIFS('Unos prihoda i primitaka'!$G$3:$G$501,'Unos prihoda i primitaka'!$C$3:$C$501,"=43",'Unos prihoda i primitaka'!$L$3:$L$501,"=67")</f>
        <v>0</v>
      </c>
      <c r="I25" s="104">
        <f>SUMIFS('Unos prihoda i primitaka'!$G$3:$G$501,'Unos prihoda i primitaka'!$C$3:$C$501,"=51",'Unos prihoda i primitaka'!$L$3:$L$501,"=67")</f>
        <v>0</v>
      </c>
      <c r="J25" s="104">
        <f>SUMIFS('Unos prihoda i primitaka'!$G$3:$G$501,'Unos prihoda i primitaka'!$C$3:$C$501,"=52",'Unos prihoda i primitaka'!$L$3:$L$501,"=67")</f>
        <v>0</v>
      </c>
      <c r="K25" s="104">
        <f>SUMIFS('Unos prihoda i primitaka'!$G$3:$G$501,'Unos prihoda i primitaka'!$C$3:$C$501,"=552",'Unos prihoda i primitaka'!$L$3:$L$501,"=67")</f>
        <v>0</v>
      </c>
      <c r="L25" s="104">
        <f>SUMIFS('Unos prihoda i primitaka'!$G$3:$G$501,'Unos prihoda i primitaka'!$C$3:$C$501,"=559",'Unos prihoda i primitaka'!$L$3:$L$501,"=67")</f>
        <v>0</v>
      </c>
      <c r="M25" s="104">
        <f>SUMIFS('Unos prihoda i primitaka'!$G$3:$G$501,'Unos prihoda i primitaka'!$C$3:$C$501,"=561",'Unos prihoda i primitaka'!$L$3:$L$501,"=67")</f>
        <v>0</v>
      </c>
      <c r="N25" s="104">
        <f>SUMIFS('Unos prihoda i primitaka'!$G$3:$G$501,'Unos prihoda i primitaka'!$C$3:$C$501,"=563",'Unos prihoda i primitaka'!$L$3:$L$501,"=67")</f>
        <v>0</v>
      </c>
      <c r="O25" s="104">
        <f>SUMIFS('Unos prihoda i primitaka'!$G$3:$G$501,'Unos prihoda i primitaka'!$C$3:$C$501,"=573",'Unos prihoda i primitaka'!$L$3:$L$501,"=67")</f>
        <v>0</v>
      </c>
      <c r="P25" s="104">
        <f>SUMIFS('Unos prihoda i primitaka'!$G$3:$G$501,'Unos prihoda i primitaka'!$C$3:$C$501,"=575",'Unos prihoda i primitaka'!$L$3:$L$501,"=67")</f>
        <v>0</v>
      </c>
      <c r="Q25" s="104">
        <f>SUMIFS('Unos prihoda i primitaka'!$G$3:$G$501,'Unos prihoda i primitaka'!$C$3:$C$501,"=576",'Unos prihoda i primitaka'!$L$3:$L$501,"=67")</f>
        <v>0</v>
      </c>
      <c r="R25" s="104">
        <f>SUMIFS('Unos prihoda i primitaka'!$G$3:$G$501,'Unos prihoda i primitaka'!$C$3:$C$501,"=581",'Unos prihoda i primitaka'!$L$3:$L$501,"=67")</f>
        <v>0</v>
      </c>
      <c r="S25" s="104">
        <f>SUMIFS('Unos prihoda i primitaka'!$G$3:$G$501,'Unos prihoda i primitaka'!$C$3:$C$501,"=61",'Unos prihoda i primitaka'!$L$3:$L$501,"=67")</f>
        <v>0</v>
      </c>
      <c r="T25" s="104">
        <f>SUMIFS('Unos prihoda i primitaka'!$G$3:$G$501,'Unos prihoda i primitaka'!$C$3:$C$501,"=63",'Unos prihoda i primitaka'!$L$3:$L$501,"=67")</f>
        <v>0</v>
      </c>
      <c r="U25" s="104">
        <f>SUMIFS('Unos prihoda i primitaka'!$G$3:$G$501,'Unos prihoda i primitaka'!$C$3:$C$501,"=71",'Unos prihoda i primitaka'!$L$3:$L$501,"=67")</f>
        <v>0</v>
      </c>
    </row>
    <row r="26" spans="1:21" s="31" customFormat="1">
      <c r="A26" s="34" t="s">
        <v>3553</v>
      </c>
      <c r="B26" s="35" t="s">
        <v>3554</v>
      </c>
      <c r="C26" s="23">
        <f t="shared" si="1"/>
        <v>0</v>
      </c>
      <c r="D26" s="104">
        <f>SUMIFS('Unos prihoda i primitaka'!$G$3:$G$501,'Unos prihoda i primitaka'!$C$3:$C$501,"=11",'Unos prihoda i primitaka'!$L$3:$L$501,"=68")</f>
        <v>0</v>
      </c>
      <c r="E26" s="104">
        <f>SUMIFS('Unos prihoda i primitaka'!$G$3:$G$501,'Unos prihoda i primitaka'!$C$3:$C$501,"=12",'Unos prihoda i primitaka'!$L$3:$L$501,"=68")</f>
        <v>0</v>
      </c>
      <c r="F26" s="104">
        <f>SUMIFS('Unos prihoda i primitaka'!$G$3:$G$501,'Unos prihoda i primitaka'!$C$3:$C$501,"=31",'Unos prihoda i primitaka'!$L$3:$L$501,"=68")</f>
        <v>0</v>
      </c>
      <c r="G26" s="104">
        <f>SUMIFS('Unos prihoda i primitaka'!$G$3:$G$501,'Unos prihoda i primitaka'!$C$3:$C$501,"=41",'Unos prihoda i primitaka'!$L$3:$L$501,"=68")</f>
        <v>0</v>
      </c>
      <c r="H26" s="104">
        <f>SUMIFS('Unos prihoda i primitaka'!$G$3:$G$501,'Unos prihoda i primitaka'!$C$3:$C$501,"=43",'Unos prihoda i primitaka'!$L$3:$L$501,"=68")</f>
        <v>0</v>
      </c>
      <c r="I26" s="104">
        <f>SUMIFS('Unos prihoda i primitaka'!$G$3:$G$501,'Unos prihoda i primitaka'!$C$3:$C$501,"=51",'Unos prihoda i primitaka'!$L$3:$L$501,"=68")</f>
        <v>0</v>
      </c>
      <c r="J26" s="104">
        <f>SUMIFS('Unos prihoda i primitaka'!$G$3:$G$501,'Unos prihoda i primitaka'!$C$3:$C$501,"=52",'Unos prihoda i primitaka'!$L$3:$L$501,"=68")</f>
        <v>0</v>
      </c>
      <c r="K26" s="104">
        <f>SUMIFS('Unos prihoda i primitaka'!$G$3:$G$501,'Unos prihoda i primitaka'!$C$3:$C$501,"=552",'Unos prihoda i primitaka'!$L$3:$L$501,"=68")</f>
        <v>0</v>
      </c>
      <c r="L26" s="104">
        <f>SUMIFS('Unos prihoda i primitaka'!$G$3:$G$501,'Unos prihoda i primitaka'!$C$3:$C$501,"=559",'Unos prihoda i primitaka'!$L$3:$L$501,"=68")</f>
        <v>0</v>
      </c>
      <c r="M26" s="104">
        <f>SUMIFS('Unos prihoda i primitaka'!$G$3:$G$501,'Unos prihoda i primitaka'!$C$3:$C$501,"=561",'Unos prihoda i primitaka'!$L$3:$L$501,"=68")</f>
        <v>0</v>
      </c>
      <c r="N26" s="104">
        <f>SUMIFS('Unos prihoda i primitaka'!$G$3:$G$501,'Unos prihoda i primitaka'!$C$3:$C$501,"=563",'Unos prihoda i primitaka'!$L$3:$L$501,"=68")</f>
        <v>0</v>
      </c>
      <c r="O26" s="104">
        <f>SUMIFS('Unos prihoda i primitaka'!$G$3:$G$501,'Unos prihoda i primitaka'!$C$3:$C$501,"=573",'Unos prihoda i primitaka'!$L$3:$L$501,"=68")</f>
        <v>0</v>
      </c>
      <c r="P26" s="104">
        <f>SUMIFS('Unos prihoda i primitaka'!$G$3:$G$501,'Unos prihoda i primitaka'!$C$3:$C$501,"=575",'Unos prihoda i primitaka'!$L$3:$L$501,"=68")</f>
        <v>0</v>
      </c>
      <c r="Q26" s="104">
        <f>SUMIFS('Unos prihoda i primitaka'!$G$3:$G$501,'Unos prihoda i primitaka'!$C$3:$C$501,"=576",'Unos prihoda i primitaka'!$L$3:$L$501,"=68")</f>
        <v>0</v>
      </c>
      <c r="R26" s="104">
        <f>SUMIFS('Unos prihoda i primitaka'!$G$3:$G$501,'Unos prihoda i primitaka'!$C$3:$C$501,"=581",'Unos prihoda i primitaka'!$L$3:$L$501,"=68")</f>
        <v>0</v>
      </c>
      <c r="S26" s="104">
        <f>SUMIFS('Unos prihoda i primitaka'!$G$3:$G$501,'Unos prihoda i primitaka'!$C$3:$C$501,"=61",'Unos prihoda i primitaka'!$L$3:$L$501,"=68")</f>
        <v>0</v>
      </c>
      <c r="T26" s="104">
        <f>SUMIFS('Unos prihoda i primitaka'!$G$3:$G$501,'Unos prihoda i primitaka'!$C$3:$C$501,"=63",'Unos prihoda i primitaka'!$L$3:$L$501,"=68")</f>
        <v>0</v>
      </c>
      <c r="U26" s="104">
        <f>SUMIFS('Unos prihoda i primitaka'!$G$3:$G$501,'Unos prihoda i primitaka'!$C$3:$C$501,"=71",'Unos prihoda i primitaka'!$L$3:$L$501,"=68")</f>
        <v>0</v>
      </c>
    </row>
    <row r="27" spans="1:21" s="31" customFormat="1">
      <c r="A27" s="37" t="s">
        <v>3555</v>
      </c>
      <c r="B27" s="38" t="s">
        <v>3556</v>
      </c>
      <c r="C27" s="23">
        <f>SUM(D27:U27)</f>
        <v>2510844</v>
      </c>
      <c r="D27" s="3">
        <f t="shared" ref="D27:U27" si="2">SUM(D9:D26)</f>
        <v>1835966</v>
      </c>
      <c r="E27" s="3">
        <f t="shared" si="2"/>
        <v>4915</v>
      </c>
      <c r="F27" s="3">
        <f t="shared" si="2"/>
        <v>94204</v>
      </c>
      <c r="G27" s="3">
        <f t="shared" si="2"/>
        <v>0</v>
      </c>
      <c r="H27" s="3">
        <f t="shared" si="2"/>
        <v>504256</v>
      </c>
      <c r="I27" s="3">
        <f t="shared" si="2"/>
        <v>10000</v>
      </c>
      <c r="J27" s="3">
        <f t="shared" si="2"/>
        <v>29754</v>
      </c>
      <c r="K27" s="3">
        <f t="shared" si="2"/>
        <v>0</v>
      </c>
      <c r="L27" s="3">
        <f t="shared" si="2"/>
        <v>0</v>
      </c>
      <c r="M27" s="3">
        <f t="shared" si="2"/>
        <v>27852</v>
      </c>
      <c r="N27" s="3">
        <f t="shared" si="2"/>
        <v>0</v>
      </c>
      <c r="O27" s="3">
        <f t="shared" si="2"/>
        <v>0</v>
      </c>
      <c r="P27" s="3">
        <f t="shared" si="2"/>
        <v>0</v>
      </c>
      <c r="Q27" s="3">
        <f t="shared" si="2"/>
        <v>0</v>
      </c>
      <c r="R27" s="3">
        <f t="shared" si="2"/>
        <v>0</v>
      </c>
      <c r="S27" s="3">
        <f t="shared" si="2"/>
        <v>3897</v>
      </c>
      <c r="T27" s="3">
        <f t="shared" si="2"/>
        <v>0</v>
      </c>
      <c r="U27" s="3">
        <f t="shared" si="2"/>
        <v>0</v>
      </c>
    </row>
    <row r="28" spans="1:21" s="31" customFormat="1">
      <c r="A28" s="34" t="s">
        <v>3557</v>
      </c>
      <c r="B28" s="39" t="s">
        <v>3558</v>
      </c>
      <c r="C28" s="23">
        <f t="shared" si="1"/>
        <v>0</v>
      </c>
      <c r="D28" s="104">
        <f>SUMIFS('Unos prihoda i primitaka'!$G$3:$G$501,'Unos prihoda i primitaka'!$C$3:$C$501,"=11",'Unos prihoda i primitaka'!$L$3:$L$501,"=71")</f>
        <v>0</v>
      </c>
      <c r="E28" s="104">
        <f>SUMIFS('Unos prihoda i primitaka'!$G$3:$G$501,'Unos prihoda i primitaka'!$C$3:$C$501,"=12",'Unos prihoda i primitaka'!$L$3:$L$501,"=71")</f>
        <v>0</v>
      </c>
      <c r="F28" s="104">
        <f>SUMIFS('Unos prihoda i primitaka'!$G$3:$G$501,'Unos prihoda i primitaka'!$C$3:$C$501,"=31",'Unos prihoda i primitaka'!$L$3:$L$501,"=71")</f>
        <v>0</v>
      </c>
      <c r="G28" s="104">
        <f>SUMIFS('Unos prihoda i primitaka'!$G$3:$G$501,'Unos prihoda i primitaka'!$C$3:$C$501,"=41",'Unos prihoda i primitaka'!$L$3:$L$501,"=71")</f>
        <v>0</v>
      </c>
      <c r="H28" s="104">
        <f>SUMIFS('Unos prihoda i primitaka'!$G$3:$G$501,'Unos prihoda i primitaka'!$C$3:$C$501,"=43",'Unos prihoda i primitaka'!$L$3:$L$501,"=71")</f>
        <v>0</v>
      </c>
      <c r="I28" s="104">
        <f>SUMIFS('Unos prihoda i primitaka'!$G$3:$G$501,'Unos prihoda i primitaka'!$C$3:$C$501,"=51",'Unos prihoda i primitaka'!$L$3:$L$501,"=71")</f>
        <v>0</v>
      </c>
      <c r="J28" s="104">
        <f>SUMIFS('Unos prihoda i primitaka'!$G$3:$G$501,'Unos prihoda i primitaka'!$C$3:$C$501,"=52",'Unos prihoda i primitaka'!$L$3:$L$501,"=71")</f>
        <v>0</v>
      </c>
      <c r="K28" s="104">
        <f>SUMIFS('Unos prihoda i primitaka'!$G$3:$G$501,'Unos prihoda i primitaka'!$C$3:$C$501,"=552",'Unos prihoda i primitaka'!$L$3:$L$501,"=71")</f>
        <v>0</v>
      </c>
      <c r="L28" s="104">
        <f>SUMIFS('Unos prihoda i primitaka'!$G$3:$G$501,'Unos prihoda i primitaka'!$C$3:$C$501,"=559",'Unos prihoda i primitaka'!$L$3:$L$501,"=71")</f>
        <v>0</v>
      </c>
      <c r="M28" s="104">
        <f>SUMIFS('Unos prihoda i primitaka'!$G$3:$G$501,'Unos prihoda i primitaka'!$C$3:$C$501,"=561",'Unos prihoda i primitaka'!$L$3:$L$501,"=71")</f>
        <v>0</v>
      </c>
      <c r="N28" s="104">
        <f>SUMIFS('Unos prihoda i primitaka'!$G$3:$G$501,'Unos prihoda i primitaka'!$C$3:$C$501,"=563",'Unos prihoda i primitaka'!$L$3:$L$501,"=71")</f>
        <v>0</v>
      </c>
      <c r="O28" s="104">
        <f>SUMIFS('Unos prihoda i primitaka'!$G$3:$G$501,'Unos prihoda i primitaka'!$C$3:$C$501,"=573",'Unos prihoda i primitaka'!$L$3:$L$501,"=71")</f>
        <v>0</v>
      </c>
      <c r="P28" s="104">
        <f>SUMIFS('Unos prihoda i primitaka'!$G$3:$G$501,'Unos prihoda i primitaka'!$C$3:$C$501,"=575",'Unos prihoda i primitaka'!$L$3:$L$501,"=71")</f>
        <v>0</v>
      </c>
      <c r="Q28" s="104">
        <f>SUMIFS('Unos prihoda i primitaka'!$G$3:$G$501,'Unos prihoda i primitaka'!$C$3:$C$501,"=576",'Unos prihoda i primitaka'!$L$3:$L$501,"=71")</f>
        <v>0</v>
      </c>
      <c r="R28" s="104">
        <f>SUMIFS('Unos prihoda i primitaka'!$G$3:$G$501,'Unos prihoda i primitaka'!$C$3:$C$501,"=581",'Unos prihoda i primitaka'!$L$3:$L$501,"=71")</f>
        <v>0</v>
      </c>
      <c r="S28" s="104">
        <f>SUMIFS('Unos prihoda i primitaka'!$G$3:$G$501,'Unos prihoda i primitaka'!$C$3:$C$501,"=61",'Unos prihoda i primitaka'!$L$3:$L$501,"=71")</f>
        <v>0</v>
      </c>
      <c r="T28" s="104">
        <f>SUMIFS('Unos prihoda i primitaka'!$G$3:$G$501,'Unos prihoda i primitaka'!$C$3:$C$501,"=63",'Unos prihoda i primitaka'!$L$3:$L$501,"=71")</f>
        <v>0</v>
      </c>
      <c r="U28" s="104">
        <f>SUMIFS('Unos prihoda i primitaka'!$G$3:$G$501,'Unos prihoda i primitaka'!$C$3:$C$501,"=71",'Unos prihoda i primitaka'!$L$3:$L$501,"=71")</f>
        <v>0</v>
      </c>
    </row>
    <row r="29" spans="1:21" s="31" customFormat="1">
      <c r="A29" s="34" t="s">
        <v>3559</v>
      </c>
      <c r="B29" s="39" t="s">
        <v>3560</v>
      </c>
      <c r="C29" s="23">
        <f t="shared" si="1"/>
        <v>0</v>
      </c>
      <c r="D29" s="104">
        <f>SUMIFS('Unos prihoda i primitaka'!$G$3:$G$501,'Unos prihoda i primitaka'!$C$3:$C$501,"=11",'Unos prihoda i primitaka'!$L$3:$L$501,"=72")</f>
        <v>0</v>
      </c>
      <c r="E29" s="104">
        <f>SUMIFS('Unos prihoda i primitaka'!$G$3:$G$501,'Unos prihoda i primitaka'!$C$3:$C$501,"=12",'Unos prihoda i primitaka'!$L$3:$L$501,"=72")</f>
        <v>0</v>
      </c>
      <c r="F29" s="104">
        <f>SUMIFS('Unos prihoda i primitaka'!$G$3:$G$501,'Unos prihoda i primitaka'!$C$3:$C$501,"=31",'Unos prihoda i primitaka'!$L$3:$L$501,"=72")</f>
        <v>0</v>
      </c>
      <c r="G29" s="104">
        <f>SUMIFS('Unos prihoda i primitaka'!$G$3:$G$501,'Unos prihoda i primitaka'!$C$3:$C$501,"=41",'Unos prihoda i primitaka'!$L$3:$L$501,"=72")</f>
        <v>0</v>
      </c>
      <c r="H29" s="104">
        <f>SUMIFS('Unos prihoda i primitaka'!$G$3:$G$501,'Unos prihoda i primitaka'!$C$3:$C$501,"=43",'Unos prihoda i primitaka'!$L$3:$L$501,"=72")</f>
        <v>0</v>
      </c>
      <c r="I29" s="104">
        <f>SUMIFS('Unos prihoda i primitaka'!$G$3:$G$501,'Unos prihoda i primitaka'!$C$3:$C$501,"=51",'Unos prihoda i primitaka'!$L$3:$L$501,"=72")</f>
        <v>0</v>
      </c>
      <c r="J29" s="104">
        <f>SUMIFS('Unos prihoda i primitaka'!$G$3:$G$501,'Unos prihoda i primitaka'!$C$3:$C$501,"=52",'Unos prihoda i primitaka'!$L$3:$L$501,"=72")</f>
        <v>0</v>
      </c>
      <c r="K29" s="104">
        <f>SUMIFS('Unos prihoda i primitaka'!$G$3:$G$501,'Unos prihoda i primitaka'!$C$3:$C$501,"=552",'Unos prihoda i primitaka'!$L$3:$L$501,"=72")</f>
        <v>0</v>
      </c>
      <c r="L29" s="104">
        <f>SUMIFS('Unos prihoda i primitaka'!$G$3:$G$501,'Unos prihoda i primitaka'!$C$3:$C$501,"=559",'Unos prihoda i primitaka'!$L$3:$L$501,"=72")</f>
        <v>0</v>
      </c>
      <c r="M29" s="104">
        <f>SUMIFS('Unos prihoda i primitaka'!$G$3:$G$501,'Unos prihoda i primitaka'!$C$3:$C$501,"=561",'Unos prihoda i primitaka'!$L$3:$L$501,"=72")</f>
        <v>0</v>
      </c>
      <c r="N29" s="104">
        <f>SUMIFS('Unos prihoda i primitaka'!$G$3:$G$501,'Unos prihoda i primitaka'!$C$3:$C$501,"=563",'Unos prihoda i primitaka'!$L$3:$L$501,"=72")</f>
        <v>0</v>
      </c>
      <c r="O29" s="104">
        <f>SUMIFS('Unos prihoda i primitaka'!$G$3:$G$501,'Unos prihoda i primitaka'!$C$3:$C$501,"=573",'Unos prihoda i primitaka'!$L$3:$L$501,"=72")</f>
        <v>0</v>
      </c>
      <c r="P29" s="104">
        <f>SUMIFS('Unos prihoda i primitaka'!$G$3:$G$501,'Unos prihoda i primitaka'!$C$3:$C$501,"=575",'Unos prihoda i primitaka'!$L$3:$L$501,"=72")</f>
        <v>0</v>
      </c>
      <c r="Q29" s="104">
        <f>SUMIFS('Unos prihoda i primitaka'!$G$3:$G$501,'Unos prihoda i primitaka'!$C$3:$C$501,"=576",'Unos prihoda i primitaka'!$L$3:$L$501,"=72")</f>
        <v>0</v>
      </c>
      <c r="R29" s="104">
        <f>SUMIFS('Unos prihoda i primitaka'!$G$3:$G$501,'Unos prihoda i primitaka'!$C$3:$C$501,"=581",'Unos prihoda i primitaka'!$L$3:$L$501,"=72")</f>
        <v>0</v>
      </c>
      <c r="S29" s="104">
        <f>SUMIFS('Unos prihoda i primitaka'!$G$3:$G$501,'Unos prihoda i primitaka'!$C$3:$C$501,"=61",'Unos prihoda i primitaka'!$L$3:$L$501,"=72")</f>
        <v>0</v>
      </c>
      <c r="T29" s="104">
        <f>SUMIFS('Unos prihoda i primitaka'!$G$3:$G$501,'Unos prihoda i primitaka'!$C$3:$C$501,"=63",'Unos prihoda i primitaka'!$L$3:$L$501,"=72")</f>
        <v>0</v>
      </c>
      <c r="U29" s="104">
        <f>SUMIFS('Unos prihoda i primitaka'!$G$3:$G$501,'Unos prihoda i primitaka'!$C$3:$C$501,"=71",'Unos prihoda i primitaka'!$L$3:$L$501,"=72")</f>
        <v>0</v>
      </c>
    </row>
    <row r="30" spans="1:21" s="31" customFormat="1">
      <c r="A30" s="37" t="s">
        <v>3561</v>
      </c>
      <c r="B30" s="38" t="s">
        <v>3556</v>
      </c>
      <c r="C30" s="23">
        <f>SUM(D30:U30)</f>
        <v>0</v>
      </c>
      <c r="D30" s="3">
        <f>SUM(D28:D29)</f>
        <v>0</v>
      </c>
      <c r="E30" s="3">
        <f t="shared" ref="E30:U30" si="3">SUM(E28:E29)</f>
        <v>0</v>
      </c>
      <c r="F30" s="3">
        <f t="shared" si="3"/>
        <v>0</v>
      </c>
      <c r="G30" s="3">
        <f t="shared" si="3"/>
        <v>0</v>
      </c>
      <c r="H30" s="3">
        <f t="shared" si="3"/>
        <v>0</v>
      </c>
      <c r="I30" s="3">
        <f t="shared" si="3"/>
        <v>0</v>
      </c>
      <c r="J30" s="3">
        <f t="shared" si="3"/>
        <v>0</v>
      </c>
      <c r="K30" s="3">
        <f t="shared" si="3"/>
        <v>0</v>
      </c>
      <c r="L30" s="3">
        <f t="shared" si="3"/>
        <v>0</v>
      </c>
      <c r="M30" s="3">
        <f t="shared" si="3"/>
        <v>0</v>
      </c>
      <c r="N30" s="3">
        <f t="shared" si="3"/>
        <v>0</v>
      </c>
      <c r="O30" s="3">
        <f t="shared" si="3"/>
        <v>0</v>
      </c>
      <c r="P30" s="3">
        <f t="shared" si="3"/>
        <v>0</v>
      </c>
      <c r="Q30" s="3">
        <f t="shared" si="3"/>
        <v>0</v>
      </c>
      <c r="R30" s="3">
        <f t="shared" si="3"/>
        <v>0</v>
      </c>
      <c r="S30" s="3">
        <f t="shared" si="3"/>
        <v>0</v>
      </c>
      <c r="T30" s="3">
        <f t="shared" si="3"/>
        <v>0</v>
      </c>
      <c r="U30" s="3">
        <f t="shared" si="3"/>
        <v>0</v>
      </c>
    </row>
    <row r="31" spans="1:21">
      <c r="A31" s="19"/>
      <c r="B31" s="19"/>
      <c r="C31" s="19"/>
      <c r="D31" s="19"/>
      <c r="E31" s="19"/>
      <c r="F31" s="19"/>
      <c r="G31" s="19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32"/>
    </row>
    <row r="32" spans="1:21" s="31" customFormat="1" ht="89.25">
      <c r="A32" s="33" t="s">
        <v>3520</v>
      </c>
      <c r="B32" s="33" t="s">
        <v>3521</v>
      </c>
      <c r="C32" s="156" t="s">
        <v>3522</v>
      </c>
      <c r="D32" s="119" t="s">
        <v>3523</v>
      </c>
      <c r="E32" s="119" t="s">
        <v>3524</v>
      </c>
      <c r="F32" s="119" t="s">
        <v>3525</v>
      </c>
      <c r="G32" s="119" t="s">
        <v>3526</v>
      </c>
      <c r="H32" s="119" t="s">
        <v>3527</v>
      </c>
      <c r="I32" s="119" t="s">
        <v>3528</v>
      </c>
      <c r="J32" s="119" t="s">
        <v>3529</v>
      </c>
      <c r="K32" s="119" t="s">
        <v>3530</v>
      </c>
      <c r="L32" s="119" t="s">
        <v>3531</v>
      </c>
      <c r="M32" s="119" t="s">
        <v>3532</v>
      </c>
      <c r="N32" s="119" t="s">
        <v>3533</v>
      </c>
      <c r="O32" s="119" t="s">
        <v>3534</v>
      </c>
      <c r="P32" s="119" t="s">
        <v>3535</v>
      </c>
      <c r="Q32" s="119" t="s">
        <v>3536</v>
      </c>
      <c r="R32" s="2" t="s">
        <v>3537</v>
      </c>
      <c r="S32" s="119" t="s">
        <v>3538</v>
      </c>
      <c r="T32" s="2" t="s">
        <v>3539</v>
      </c>
      <c r="U32" s="2" t="s">
        <v>3540</v>
      </c>
    </row>
    <row r="33" spans="1:21" s="31" customFormat="1" ht="20.25" customHeight="1">
      <c r="A33" s="258">
        <v>2023</v>
      </c>
      <c r="B33" s="258" t="s">
        <v>63</v>
      </c>
      <c r="C33" s="47">
        <f>SUM(D33:U33)</f>
        <v>8481248</v>
      </c>
      <c r="D33" s="47">
        <f t="shared" ref="D33:U33" si="4">+D44+D41</f>
        <v>4269463</v>
      </c>
      <c r="E33" s="47">
        <f t="shared" si="4"/>
        <v>0</v>
      </c>
      <c r="F33" s="47">
        <f t="shared" si="4"/>
        <v>247739</v>
      </c>
      <c r="G33" s="47">
        <f t="shared" si="4"/>
        <v>0</v>
      </c>
      <c r="H33" s="47">
        <f t="shared" si="4"/>
        <v>1475571</v>
      </c>
      <c r="I33" s="47">
        <f t="shared" si="4"/>
        <v>252399</v>
      </c>
      <c r="J33" s="47">
        <f t="shared" si="4"/>
        <v>1835141</v>
      </c>
      <c r="K33" s="47">
        <f t="shared" si="4"/>
        <v>0</v>
      </c>
      <c r="L33" s="47">
        <f t="shared" si="4"/>
        <v>0</v>
      </c>
      <c r="M33" s="47">
        <f t="shared" si="4"/>
        <v>0</v>
      </c>
      <c r="N33" s="47">
        <f t="shared" si="4"/>
        <v>0</v>
      </c>
      <c r="O33" s="47">
        <f t="shared" si="4"/>
        <v>0</v>
      </c>
      <c r="P33" s="47">
        <f t="shared" si="4"/>
        <v>0</v>
      </c>
      <c r="Q33" s="47">
        <f t="shared" si="4"/>
        <v>0</v>
      </c>
      <c r="R33" s="47">
        <f t="shared" si="4"/>
        <v>0</v>
      </c>
      <c r="S33" s="47">
        <f t="shared" si="4"/>
        <v>399608</v>
      </c>
      <c r="T33" s="47">
        <f t="shared" si="4"/>
        <v>0</v>
      </c>
      <c r="U33" s="47">
        <f t="shared" si="4"/>
        <v>1327</v>
      </c>
    </row>
    <row r="34" spans="1:21" s="31" customFormat="1">
      <c r="A34" s="36" t="s">
        <v>3541</v>
      </c>
      <c r="B34" s="44" t="s">
        <v>3542</v>
      </c>
      <c r="C34" s="23">
        <f t="shared" ref="C34:C44" si="5">SUM(D34:U34)</f>
        <v>0</v>
      </c>
      <c r="D34" s="104">
        <f>SUMIFS('Unos prihoda i primitaka'!$H$3:$H$501,'Unos prihoda i primitaka'!$C$3:$C$501,"=11",'Unos prihoda i primitaka'!$L$3:$L$501,"=61")</f>
        <v>0</v>
      </c>
      <c r="E34" s="104">
        <f>SUMIFS('Unos prihoda i primitaka'!$H$3:$H$501,'Unos prihoda i primitaka'!$C$3:$C$501,"=12",'Unos prihoda i primitaka'!$L$3:$L$501,"=61")</f>
        <v>0</v>
      </c>
      <c r="F34" s="104">
        <f>SUMIFS('Unos prihoda i primitaka'!$H$3:$H$501,'Unos prihoda i primitaka'!$C$3:$C$501,"=31",'Unos prihoda i primitaka'!$L$3:$L$501,"=61")</f>
        <v>0</v>
      </c>
      <c r="G34" s="104">
        <f>SUMIFS('Unos prihoda i primitaka'!$H$3:$H$501,'Unos prihoda i primitaka'!$C$3:$C$501,"=41",'Unos prihoda i primitaka'!$L$3:$L$501,"=61")</f>
        <v>0</v>
      </c>
      <c r="H34" s="104">
        <f>SUMIFS('Unos prihoda i primitaka'!$H$3:$H$501,'Unos prihoda i primitaka'!$C$3:$C$501,"=43",'Unos prihoda i primitaka'!$L$3:$L$501,"=61")</f>
        <v>0</v>
      </c>
      <c r="I34" s="104">
        <f>SUMIFS('Unos prihoda i primitaka'!$H$3:$H$501,'Unos prihoda i primitaka'!$C$3:$C$501,"=51",'Unos prihoda i primitaka'!$L$3:$L$501,"=61")</f>
        <v>0</v>
      </c>
      <c r="J34" s="104">
        <f>SUMIFS('Unos prihoda i primitaka'!$H$3:$H$501,'Unos prihoda i primitaka'!$C$3:$C$501,"=52",'Unos prihoda i primitaka'!$L$3:$L$501,"=61")</f>
        <v>0</v>
      </c>
      <c r="K34" s="104">
        <f>SUMIFS('Unos prihoda i primitaka'!$H$3:$H$501,'Unos prihoda i primitaka'!$C$3:$C$501,"=552",'Unos prihoda i primitaka'!$L$3:$L$501,"=61")</f>
        <v>0</v>
      </c>
      <c r="L34" s="104">
        <f>SUMIFS('Unos prihoda i primitaka'!$H$3:$H$501,'Unos prihoda i primitaka'!$C$3:$C$501,"=559",'Unos prihoda i primitaka'!$L$3:$L$501,"=61")</f>
        <v>0</v>
      </c>
      <c r="M34" s="104">
        <f>SUMIFS('Unos prihoda i primitaka'!$H$3:$H$501,'Unos prihoda i primitaka'!$C$3:$C$501,"=561",'Unos prihoda i primitaka'!$L$3:$L$501,"=61")</f>
        <v>0</v>
      </c>
      <c r="N34" s="104">
        <f>SUMIFS('Unos prihoda i primitaka'!$H$3:$H$501,'Unos prihoda i primitaka'!$C$3:$C$501,"=563",'Unos prihoda i primitaka'!$L$3:$L$501,"=61")</f>
        <v>0</v>
      </c>
      <c r="O34" s="104">
        <f>SUMIFS('Unos prihoda i primitaka'!$H$3:$H$501,'Unos prihoda i primitaka'!$C$3:$C$501,"=573",'Unos prihoda i primitaka'!$L$3:$L$501,"=61")</f>
        <v>0</v>
      </c>
      <c r="P34" s="104">
        <f>SUMIFS('Unos prihoda i primitaka'!$H$3:$H$501,'Unos prihoda i primitaka'!$C$3:$C$501,"=575",'Unos prihoda i primitaka'!$L$3:$L$501,"=61")</f>
        <v>0</v>
      </c>
      <c r="Q34" s="104">
        <f>SUMIFS('Unos prihoda i primitaka'!$H$3:$H$501,'Unos prihoda i primitaka'!$C$3:$C$501,"=576",'Unos prihoda i primitaka'!$L$3:$L$501,"=61")</f>
        <v>0</v>
      </c>
      <c r="R34" s="104">
        <f>SUMIFS('Unos prihoda i primitaka'!$H$3:$H$501,'Unos prihoda i primitaka'!$C$3:$C$501,"=581",'Unos prihoda i primitaka'!$L$3:$L$501,"=61")</f>
        <v>0</v>
      </c>
      <c r="S34" s="104">
        <f>SUMIFS('Unos prihoda i primitaka'!$H$3:$H$501,'Unos prihoda i primitaka'!$C$3:$C$501,"=61",'Unos prihoda i primitaka'!$L$3:$L$501,"=61")</f>
        <v>0</v>
      </c>
      <c r="T34" s="104">
        <f>SUMIFS('Unos prihoda i primitaka'!$H$3:$H$501,'Unos prihoda i primitaka'!$C$3:$C$501,"=63",'Unos prihoda i primitaka'!$L$3:$L$501,"=61")</f>
        <v>0</v>
      </c>
      <c r="U34" s="104">
        <f>SUMIFS('Unos prihoda i primitaka'!$H$3:$H$501,'Unos prihoda i primitaka'!$C$3:$C$501,"=71",'Unos prihoda i primitaka'!$L$3:$L$501,"=61")</f>
        <v>0</v>
      </c>
    </row>
    <row r="35" spans="1:21" s="31" customFormat="1" ht="25.5">
      <c r="A35" s="36" t="s">
        <v>3543</v>
      </c>
      <c r="B35" s="44" t="s">
        <v>3544</v>
      </c>
      <c r="C35" s="23">
        <f t="shared" si="5"/>
        <v>2087540</v>
      </c>
      <c r="D35" s="104">
        <f>SUMIFS('Unos prihoda i primitaka'!$H$3:$H$501,'Unos prihoda i primitaka'!$C$3:$C$501,"=11",'Unos prihoda i primitaka'!$L$3:$L$501,"=63")</f>
        <v>0</v>
      </c>
      <c r="E35" s="104">
        <f>SUMIFS('Unos prihoda i primitaka'!$H$3:$H$501,'Unos prihoda i primitaka'!$C$3:$C$501,"=12",'Unos prihoda i primitaka'!$L$3:$L$501,"=63")</f>
        <v>0</v>
      </c>
      <c r="F35" s="104">
        <f>SUMIFS('Unos prihoda i primitaka'!$H$3:$H$501,'Unos prihoda i primitaka'!$C$3:$C$501,"=31",'Unos prihoda i primitaka'!$L$3:$L$501,"=63")</f>
        <v>0</v>
      </c>
      <c r="G35" s="104">
        <f>SUMIFS('Unos prihoda i primitaka'!$H$3:$H$501,'Unos prihoda i primitaka'!$C$3:$C$501,"=41",'Unos prihoda i primitaka'!$L$3:$L$501,"=63")</f>
        <v>0</v>
      </c>
      <c r="H35" s="104">
        <f>SUMIFS('Unos prihoda i primitaka'!$H$3:$H$501,'Unos prihoda i primitaka'!$C$3:$C$501,"=43",'Unos prihoda i primitaka'!$L$3:$L$501,"=63")</f>
        <v>0</v>
      </c>
      <c r="I35" s="104">
        <f>SUMIFS('Unos prihoda i primitaka'!$H$3:$H$501,'Unos prihoda i primitaka'!$C$3:$C$501,"=51",'Unos prihoda i primitaka'!$L$3:$L$501,"=63")</f>
        <v>252399</v>
      </c>
      <c r="J35" s="104">
        <f>SUMIFS('Unos prihoda i primitaka'!$H$3:$H$501,'Unos prihoda i primitaka'!$C$3:$C$501,"=52",'Unos prihoda i primitaka'!$L$3:$L$501,"=63")</f>
        <v>1835141</v>
      </c>
      <c r="K35" s="104">
        <f>SUMIFS('Unos prihoda i primitaka'!$H$3:$H$501,'Unos prihoda i primitaka'!$C$3:$C$501,"=552",'Unos prihoda i primitaka'!$L$3:$L$501,"=63")</f>
        <v>0</v>
      </c>
      <c r="L35" s="104">
        <f>SUMIFS('Unos prihoda i primitaka'!$H$3:$H$501,'Unos prihoda i primitaka'!$C$3:$C$501,"=559",'Unos prihoda i primitaka'!$L$3:$L$501,"=63")</f>
        <v>0</v>
      </c>
      <c r="M35" s="104">
        <f>SUMIFS('Unos prihoda i primitaka'!$H$3:$H$501,'Unos prihoda i primitaka'!$C$3:$C$501,"=561",'Unos prihoda i primitaka'!$L$3:$L$501,"=63")</f>
        <v>0</v>
      </c>
      <c r="N35" s="104">
        <f>SUMIFS('Unos prihoda i primitaka'!$H$3:$H$501,'Unos prihoda i primitaka'!$C$3:$C$501,"=563",'Unos prihoda i primitaka'!$L$3:$L$501,"=63")</f>
        <v>0</v>
      </c>
      <c r="O35" s="104">
        <f>SUMIFS('Unos prihoda i primitaka'!$H$3:$H$501,'Unos prihoda i primitaka'!$C$3:$C$501,"=573",'Unos prihoda i primitaka'!$L$3:$L$501,"=63")</f>
        <v>0</v>
      </c>
      <c r="P35" s="104">
        <f>SUMIFS('Unos prihoda i primitaka'!$H$3:$H$501,'Unos prihoda i primitaka'!$C$3:$C$501,"=575",'Unos prihoda i primitaka'!$L$3:$L$501,"=63")</f>
        <v>0</v>
      </c>
      <c r="Q35" s="104">
        <f>SUMIFS('Unos prihoda i primitaka'!$H$3:$H$501,'Unos prihoda i primitaka'!$C$3:$C$501,"=576",'Unos prihoda i primitaka'!$L$3:$L$501,"=63")</f>
        <v>0</v>
      </c>
      <c r="R35" s="104">
        <f>SUMIFS('Unos prihoda i primitaka'!$H$3:$H$501,'Unos prihoda i primitaka'!$C$3:$C$501,"=581",'Unos prihoda i primitaka'!$L$3:$L$501,"=63")</f>
        <v>0</v>
      </c>
      <c r="S35" s="104">
        <f>SUMIFS('Unos prihoda i primitaka'!$H$3:$H$501,'Unos prihoda i primitaka'!$C$3:$C$501,"=61",'Unos prihoda i primitaka'!$L$3:$L$501,"=63")</f>
        <v>0</v>
      </c>
      <c r="T35" s="104">
        <f>SUMIFS('Unos prihoda i primitaka'!$H$3:$H$501,'Unos prihoda i primitaka'!$C$3:$C$501,"=63",'Unos prihoda i primitaka'!$L$3:$L$501,"=63")</f>
        <v>0</v>
      </c>
      <c r="U35" s="104">
        <f>SUMIFS('Unos prihoda i primitaka'!$H$3:$H$501,'Unos prihoda i primitaka'!$C$3:$C$501,"=71",'Unos prihoda i primitaka'!$L$3:$L$501,"=63")</f>
        <v>0</v>
      </c>
    </row>
    <row r="36" spans="1:21" s="31" customFormat="1">
      <c r="A36" s="34" t="s">
        <v>3545</v>
      </c>
      <c r="B36" s="35" t="s">
        <v>3546</v>
      </c>
      <c r="C36" s="23">
        <f t="shared" si="5"/>
        <v>0</v>
      </c>
      <c r="D36" s="104">
        <f>SUMIFS('Unos prihoda i primitaka'!$H$3:$H$501,'Unos prihoda i primitaka'!$C$3:$C$501,"=11",'Unos prihoda i primitaka'!$L$3:$L$501,"=64")</f>
        <v>0</v>
      </c>
      <c r="E36" s="104">
        <f>SUMIFS('Unos prihoda i primitaka'!$H$3:$H$501,'Unos prihoda i primitaka'!$C$3:$C$501,"=12",'Unos prihoda i primitaka'!$L$3:$L$501,"=64")</f>
        <v>0</v>
      </c>
      <c r="F36" s="104">
        <f>SUMIFS('Unos prihoda i primitaka'!$H$3:$H$501,'Unos prihoda i primitaka'!$C$3:$C$501,"=31",'Unos prihoda i primitaka'!$L$3:$L$501,"=64")</f>
        <v>0</v>
      </c>
      <c r="G36" s="104">
        <f>SUMIFS('Unos prihoda i primitaka'!$H$3:$H$501,'Unos prihoda i primitaka'!$C$3:$C$501,"=41",'Unos prihoda i primitaka'!$L$3:$L$501,"=64")</f>
        <v>0</v>
      </c>
      <c r="H36" s="104">
        <f>SUMIFS('Unos prihoda i primitaka'!$H$3:$H$501,'Unos prihoda i primitaka'!$C$3:$C$501,"=43",'Unos prihoda i primitaka'!$L$3:$L$501,"=64")</f>
        <v>0</v>
      </c>
      <c r="I36" s="104">
        <f>SUMIFS('Unos prihoda i primitaka'!$H$3:$H$501,'Unos prihoda i primitaka'!$C$3:$C$501,"=51",'Unos prihoda i primitaka'!$L$3:$L$501,"=64")</f>
        <v>0</v>
      </c>
      <c r="J36" s="104">
        <f>SUMIFS('Unos prihoda i primitaka'!$H$3:$H$501,'Unos prihoda i primitaka'!$C$3:$C$501,"=52",'Unos prihoda i primitaka'!$L$3:$L$501,"=64")</f>
        <v>0</v>
      </c>
      <c r="K36" s="104">
        <f>SUMIFS('Unos prihoda i primitaka'!$H$3:$H$501,'Unos prihoda i primitaka'!$C$3:$C$501,"=552",'Unos prihoda i primitaka'!$L$3:$L$501,"=64")</f>
        <v>0</v>
      </c>
      <c r="L36" s="104">
        <f>SUMIFS('Unos prihoda i primitaka'!$H$3:$H$501,'Unos prihoda i primitaka'!$C$3:$C$501,"=559",'Unos prihoda i primitaka'!$L$3:$L$501,"=64")</f>
        <v>0</v>
      </c>
      <c r="M36" s="104">
        <f>SUMIFS('Unos prihoda i primitaka'!$H$3:$H$501,'Unos prihoda i primitaka'!$C$3:$C$501,"=561",'Unos prihoda i primitaka'!$L$3:$L$501,"=64")</f>
        <v>0</v>
      </c>
      <c r="N36" s="104">
        <f>SUMIFS('Unos prihoda i primitaka'!$H$3:$H$501,'Unos prihoda i primitaka'!$C$3:$C$501,"=563",'Unos prihoda i primitaka'!$L$3:$L$501,"=64")</f>
        <v>0</v>
      </c>
      <c r="O36" s="104">
        <f>SUMIFS('Unos prihoda i primitaka'!$H$3:$H$501,'Unos prihoda i primitaka'!$C$3:$C$501,"=573",'Unos prihoda i primitaka'!$L$3:$L$501,"=64")</f>
        <v>0</v>
      </c>
      <c r="P36" s="104">
        <f>SUMIFS('Unos prihoda i primitaka'!$H$3:$H$501,'Unos prihoda i primitaka'!$C$3:$C$501,"=575",'Unos prihoda i primitaka'!$L$3:$L$501,"=64")</f>
        <v>0</v>
      </c>
      <c r="Q36" s="104">
        <f>SUMIFS('Unos prihoda i primitaka'!$H$3:$H$501,'Unos prihoda i primitaka'!$C$3:$C$501,"=576",'Unos prihoda i primitaka'!$L$3:$L$501,"=64")</f>
        <v>0</v>
      </c>
      <c r="R36" s="104">
        <f>SUMIFS('Unos prihoda i primitaka'!$H$3:$H$501,'Unos prihoda i primitaka'!$C$3:$C$501,"=581",'Unos prihoda i primitaka'!$L$3:$L$501,"=64")</f>
        <v>0</v>
      </c>
      <c r="S36" s="104">
        <f>SUMIFS('Unos prihoda i primitaka'!$H$3:$H$501,'Unos prihoda i primitaka'!$C$3:$C$501,"=61",'Unos prihoda i primitaka'!$L$3:$L$501,"=64")</f>
        <v>0</v>
      </c>
      <c r="T36" s="104">
        <f>SUMIFS('Unos prihoda i primitaka'!$H$3:$H$501,'Unos prihoda i primitaka'!$C$3:$C$501,"=63",'Unos prihoda i primitaka'!$L$3:$L$501,"=64")</f>
        <v>0</v>
      </c>
      <c r="U36" s="104">
        <f>SUMIFS('Unos prihoda i primitaka'!$H$3:$H$501,'Unos prihoda i primitaka'!$C$3:$C$501,"=71",'Unos prihoda i primitaka'!$L$3:$L$501,"=64")</f>
        <v>0</v>
      </c>
    </row>
    <row r="37" spans="1:21" s="31" customFormat="1" ht="25.5">
      <c r="A37" s="34" t="s">
        <v>3547</v>
      </c>
      <c r="B37" s="35" t="s">
        <v>3548</v>
      </c>
      <c r="C37" s="23">
        <f t="shared" si="5"/>
        <v>1475571</v>
      </c>
      <c r="D37" s="104">
        <f>SUMIFS('Unos prihoda i primitaka'!$H$3:$H$501,'Unos prihoda i primitaka'!$C$3:$C$501,"=11",'Unos prihoda i primitaka'!$L$3:$L$501,"=65")</f>
        <v>0</v>
      </c>
      <c r="E37" s="104">
        <f>SUMIFS('Unos prihoda i primitaka'!$H$3:$H$501,'Unos prihoda i primitaka'!$C$3:$C$501,"=12",'Unos prihoda i primitaka'!$L$3:$L$501,"=65")</f>
        <v>0</v>
      </c>
      <c r="F37" s="104">
        <f>SUMIFS('Unos prihoda i primitaka'!$H$3:$H$501,'Unos prihoda i primitaka'!$C$3:$C$501,"=31",'Unos prihoda i primitaka'!$L$3:$L$501,"=65")</f>
        <v>0</v>
      </c>
      <c r="G37" s="104">
        <f>SUMIFS('Unos prihoda i primitaka'!$H$3:$H$501,'Unos prihoda i primitaka'!$C$3:$C$501,"=41",'Unos prihoda i primitaka'!$L$3:$L$501,"=65")</f>
        <v>0</v>
      </c>
      <c r="H37" s="104">
        <f>SUMIFS('Unos prihoda i primitaka'!$H$3:$H$501,'Unos prihoda i primitaka'!$C$3:$C$501,"=43",'Unos prihoda i primitaka'!$L$3:$L$501,"=65")</f>
        <v>1475571</v>
      </c>
      <c r="I37" s="104">
        <f>SUMIFS('Unos prihoda i primitaka'!$H$3:$H$501,'Unos prihoda i primitaka'!$C$3:$C$501,"=51",'Unos prihoda i primitaka'!$L$3:$L$501,"=65")</f>
        <v>0</v>
      </c>
      <c r="J37" s="104">
        <f>SUMIFS('Unos prihoda i primitaka'!$H$3:$H$501,'Unos prihoda i primitaka'!$C$3:$C$501,"=52",'Unos prihoda i primitaka'!$L$3:$L$501,"=65")</f>
        <v>0</v>
      </c>
      <c r="K37" s="104">
        <f>SUMIFS('Unos prihoda i primitaka'!$H$3:$H$501,'Unos prihoda i primitaka'!$C$3:$C$501,"=552",'Unos prihoda i primitaka'!$L$3:$L$501,"=65")</f>
        <v>0</v>
      </c>
      <c r="L37" s="104">
        <f>SUMIFS('Unos prihoda i primitaka'!$H$3:$H$501,'Unos prihoda i primitaka'!$C$3:$C$501,"=559",'Unos prihoda i primitaka'!$L$3:$L$501,"=65")</f>
        <v>0</v>
      </c>
      <c r="M37" s="104">
        <f>SUMIFS('Unos prihoda i primitaka'!$H$3:$H$501,'Unos prihoda i primitaka'!$C$3:$C$501,"=561",'Unos prihoda i primitaka'!$L$3:$L$501,"=65")</f>
        <v>0</v>
      </c>
      <c r="N37" s="104">
        <f>SUMIFS('Unos prihoda i primitaka'!$H$3:$H$501,'Unos prihoda i primitaka'!$C$3:$C$501,"=563",'Unos prihoda i primitaka'!$L$3:$L$501,"=65")</f>
        <v>0</v>
      </c>
      <c r="O37" s="104">
        <f>SUMIFS('Unos prihoda i primitaka'!$H$3:$H$501,'Unos prihoda i primitaka'!$C$3:$C$501,"=573",'Unos prihoda i primitaka'!$L$3:$L$501,"=65")</f>
        <v>0</v>
      </c>
      <c r="P37" s="104">
        <f>SUMIFS('Unos prihoda i primitaka'!$H$3:$H$501,'Unos prihoda i primitaka'!$C$3:$C$501,"=575",'Unos prihoda i primitaka'!$L$3:$L$501,"=65")</f>
        <v>0</v>
      </c>
      <c r="Q37" s="104">
        <f>SUMIFS('Unos prihoda i primitaka'!$H$3:$H$501,'Unos prihoda i primitaka'!$C$3:$C$501,"=576",'Unos prihoda i primitaka'!$L$3:$L$501,"=65")</f>
        <v>0</v>
      </c>
      <c r="R37" s="104">
        <f>SUMIFS('Unos prihoda i primitaka'!$H$3:$H$501,'Unos prihoda i primitaka'!$C$3:$C$501,"=581",'Unos prihoda i primitaka'!$L$3:$L$501,"=65")</f>
        <v>0</v>
      </c>
      <c r="S37" s="104">
        <f>SUMIFS('Unos prihoda i primitaka'!$H$3:$H$501,'Unos prihoda i primitaka'!$C$3:$C$501,"=61",'Unos prihoda i primitaka'!$L$3:$L$501,"=65")</f>
        <v>0</v>
      </c>
      <c r="T37" s="104">
        <f>SUMIFS('Unos prihoda i primitaka'!$H$3:$H$501,'Unos prihoda i primitaka'!$C$3:$C$501,"=63",'Unos prihoda i primitaka'!$L$3:$L$501,"=65")</f>
        <v>0</v>
      </c>
      <c r="U37" s="104">
        <f>SUMIFS('Unos prihoda i primitaka'!$H$3:$H$501,'Unos prihoda i primitaka'!$C$3:$C$501,"=71",'Unos prihoda i primitaka'!$L$3:$L$501,"=65")</f>
        <v>0</v>
      </c>
    </row>
    <row r="38" spans="1:21" s="31" customFormat="1" ht="25.5">
      <c r="A38" s="117" t="s">
        <v>3549</v>
      </c>
      <c r="B38" s="35" t="s">
        <v>3550</v>
      </c>
      <c r="C38" s="23">
        <f t="shared" si="5"/>
        <v>647347</v>
      </c>
      <c r="D38" s="104">
        <f>SUMIFS('Unos prihoda i primitaka'!$H$3:$H$501,'Unos prihoda i primitaka'!$C$3:$C$501,"=11",'Unos prihoda i primitaka'!$L$3:$L$501,"=66")</f>
        <v>0</v>
      </c>
      <c r="E38" s="104">
        <f>SUMIFS('Unos prihoda i primitaka'!$H$3:$H$501,'Unos prihoda i primitaka'!$C$3:$C$501,"=12",'Unos prihoda i primitaka'!$L$3:$L$501,"=66")</f>
        <v>0</v>
      </c>
      <c r="F38" s="104">
        <f>SUMIFS('Unos prihoda i primitaka'!$H$3:$H$501,'Unos prihoda i primitaka'!$C$3:$C$501,"=31",'Unos prihoda i primitaka'!$L$3:$L$501,"=66")</f>
        <v>247739</v>
      </c>
      <c r="G38" s="104">
        <f>SUMIFS('Unos prihoda i primitaka'!$H$3:$H$501,'Unos prihoda i primitaka'!$C$3:$C$501,"=41",'Unos prihoda i primitaka'!$L$3:$L$501,"=66")</f>
        <v>0</v>
      </c>
      <c r="H38" s="104">
        <f>SUMIFS('Unos prihoda i primitaka'!$H$3:$H$501,'Unos prihoda i primitaka'!$C$3:$C$501,"=43",'Unos prihoda i primitaka'!$L$3:$L$501,"=66")</f>
        <v>0</v>
      </c>
      <c r="I38" s="104">
        <f>SUMIFS('Unos prihoda i primitaka'!$H$3:$H$501,'Unos prihoda i primitaka'!$C$3:$C$501,"=51",'Unos prihoda i primitaka'!$L$3:$L$501,"=66")</f>
        <v>0</v>
      </c>
      <c r="J38" s="104">
        <f>SUMIFS('Unos prihoda i primitaka'!$H$3:$H$501,'Unos prihoda i primitaka'!$C$3:$C$501,"=52",'Unos prihoda i primitaka'!$L$3:$L$501,"=66")</f>
        <v>0</v>
      </c>
      <c r="K38" s="104">
        <f>SUMIFS('Unos prihoda i primitaka'!$H$3:$H$501,'Unos prihoda i primitaka'!$C$3:$C$501,"=552",'Unos prihoda i primitaka'!$L$3:$L$501,"=66")</f>
        <v>0</v>
      </c>
      <c r="L38" s="104">
        <f>SUMIFS('Unos prihoda i primitaka'!$H$3:$H$501,'Unos prihoda i primitaka'!$C$3:$C$501,"=559",'Unos prihoda i primitaka'!$L$3:$L$501,"=66")</f>
        <v>0</v>
      </c>
      <c r="M38" s="104">
        <f>SUMIFS('Unos prihoda i primitaka'!$H$3:$H$501,'Unos prihoda i primitaka'!$C$3:$C$501,"=561",'Unos prihoda i primitaka'!$L$3:$L$501,"=66")</f>
        <v>0</v>
      </c>
      <c r="N38" s="104">
        <f>SUMIFS('Unos prihoda i primitaka'!$H$3:$H$501,'Unos prihoda i primitaka'!$C$3:$C$501,"=563",'Unos prihoda i primitaka'!$L$3:$L$501,"=66")</f>
        <v>0</v>
      </c>
      <c r="O38" s="104">
        <f>SUMIFS('Unos prihoda i primitaka'!$H$3:$H$501,'Unos prihoda i primitaka'!$C$3:$C$501,"=573",'Unos prihoda i primitaka'!$L$3:$L$501,"=66")</f>
        <v>0</v>
      </c>
      <c r="P38" s="104">
        <f>SUMIFS('Unos prihoda i primitaka'!$H$3:$H$501,'Unos prihoda i primitaka'!$C$3:$C$501,"=575",'Unos prihoda i primitaka'!$L$3:$L$501,"=66")</f>
        <v>0</v>
      </c>
      <c r="Q38" s="104">
        <f>SUMIFS('Unos prihoda i primitaka'!$H$3:$H$501,'Unos prihoda i primitaka'!$C$3:$C$501,"=576",'Unos prihoda i primitaka'!$L$3:$L$501,"=66")</f>
        <v>0</v>
      </c>
      <c r="R38" s="104">
        <f>SUMIFS('Unos prihoda i primitaka'!$H$3:$H$501,'Unos prihoda i primitaka'!$C$3:$C$501,"=581",'Unos prihoda i primitaka'!$L$3:$L$501,"=66")</f>
        <v>0</v>
      </c>
      <c r="S38" s="104">
        <f>SUMIFS('Unos prihoda i primitaka'!$H$3:$H$501,'Unos prihoda i primitaka'!$C$3:$C$501,"=61",'Unos prihoda i primitaka'!$L$3:$L$501,"=66")</f>
        <v>399608</v>
      </c>
      <c r="T38" s="104">
        <f>SUMIFS('Unos prihoda i primitaka'!$H$3:$H$501,'Unos prihoda i primitaka'!$C$3:$C$501,"=63",'Unos prihoda i primitaka'!$L$3:$L$501,"=66")</f>
        <v>0</v>
      </c>
      <c r="U38" s="104">
        <f>SUMIFS('Unos prihoda i primitaka'!$H$3:$H$501,'Unos prihoda i primitaka'!$C$3:$C$501,"=71",'Unos prihoda i primitaka'!$L$3:$L$501,"=66")</f>
        <v>0</v>
      </c>
    </row>
    <row r="39" spans="1:21" s="31" customFormat="1">
      <c r="A39" s="34" t="s">
        <v>3551</v>
      </c>
      <c r="B39" s="35" t="s">
        <v>3552</v>
      </c>
      <c r="C39" s="23">
        <f t="shared" si="5"/>
        <v>4269463</v>
      </c>
      <c r="D39" s="104">
        <f>SUMIFS('Unos prihoda i primitaka'!$H$3:$H$501,'Unos prihoda i primitaka'!$C$3:$C$501,"=11",'Unos prihoda i primitaka'!$L$3:$L$501,"=67")</f>
        <v>4269463</v>
      </c>
      <c r="E39" s="104">
        <f>SUMIFS('Unos prihoda i primitaka'!$H$3:$H$501,'Unos prihoda i primitaka'!$C$3:$C$501,"=12",'Unos prihoda i primitaka'!$L$3:$L$501,"=67")</f>
        <v>0</v>
      </c>
      <c r="F39" s="104">
        <f>SUMIFS('Unos prihoda i primitaka'!$H$3:$H$501,'Unos prihoda i primitaka'!$C$3:$C$501,"=31",'Unos prihoda i primitaka'!$L$3:$L$501,"=67")</f>
        <v>0</v>
      </c>
      <c r="G39" s="104">
        <f>SUMIFS('Unos prihoda i primitaka'!$H$3:$H$501,'Unos prihoda i primitaka'!$C$3:$C$501,"=41",'Unos prihoda i primitaka'!$L$3:$L$501,"=67")</f>
        <v>0</v>
      </c>
      <c r="H39" s="104">
        <f>SUMIFS('Unos prihoda i primitaka'!$H$3:$H$501,'Unos prihoda i primitaka'!$C$3:$C$501,"=43",'Unos prihoda i primitaka'!$L$3:$L$501,"=67")</f>
        <v>0</v>
      </c>
      <c r="I39" s="104">
        <f>SUMIFS('Unos prihoda i primitaka'!$H$3:$H$501,'Unos prihoda i primitaka'!$C$3:$C$501,"=51",'Unos prihoda i primitaka'!$L$3:$L$501,"=67")</f>
        <v>0</v>
      </c>
      <c r="J39" s="104">
        <f>SUMIFS('Unos prihoda i primitaka'!$H$3:$H$501,'Unos prihoda i primitaka'!$C$3:$C$501,"=52",'Unos prihoda i primitaka'!$L$3:$L$501,"=67")</f>
        <v>0</v>
      </c>
      <c r="K39" s="104">
        <f>SUMIFS('Unos prihoda i primitaka'!$H$3:$H$501,'Unos prihoda i primitaka'!$C$3:$C$501,"=552",'Unos prihoda i primitaka'!$L$3:$L$501,"=67")</f>
        <v>0</v>
      </c>
      <c r="L39" s="104">
        <f>SUMIFS('Unos prihoda i primitaka'!$H$3:$H$501,'Unos prihoda i primitaka'!$C$3:$C$501,"=559",'Unos prihoda i primitaka'!$L$3:$L$501,"=67")</f>
        <v>0</v>
      </c>
      <c r="M39" s="104">
        <f>SUMIFS('Unos prihoda i primitaka'!$H$3:$H$501,'Unos prihoda i primitaka'!$C$3:$C$501,"=561",'Unos prihoda i primitaka'!$L$3:$L$501,"=67")</f>
        <v>0</v>
      </c>
      <c r="N39" s="104">
        <f>SUMIFS('Unos prihoda i primitaka'!$H$3:$H$501,'Unos prihoda i primitaka'!$C$3:$C$501,"=563",'Unos prihoda i primitaka'!$L$3:$L$501,"=67")</f>
        <v>0</v>
      </c>
      <c r="O39" s="104">
        <f>SUMIFS('Unos prihoda i primitaka'!$H$3:$H$501,'Unos prihoda i primitaka'!$C$3:$C$501,"=573",'Unos prihoda i primitaka'!$L$3:$L$501,"=67")</f>
        <v>0</v>
      </c>
      <c r="P39" s="104">
        <f>SUMIFS('Unos prihoda i primitaka'!$H$3:$H$501,'Unos prihoda i primitaka'!$C$3:$C$501,"=575",'Unos prihoda i primitaka'!$L$3:$L$501,"=67")</f>
        <v>0</v>
      </c>
      <c r="Q39" s="104">
        <f>SUMIFS('Unos prihoda i primitaka'!$H$3:$H$501,'Unos prihoda i primitaka'!$C$3:$C$501,"=576",'Unos prihoda i primitaka'!$L$3:$L$501,"=67")</f>
        <v>0</v>
      </c>
      <c r="R39" s="104">
        <f>SUMIFS('Unos prihoda i primitaka'!$H$3:$H$501,'Unos prihoda i primitaka'!$C$3:$C$501,"=581",'Unos prihoda i primitaka'!$L$3:$L$501,"=67")</f>
        <v>0</v>
      </c>
      <c r="S39" s="104">
        <f>SUMIFS('Unos prihoda i primitaka'!$H$3:$H$501,'Unos prihoda i primitaka'!$C$3:$C$501,"=61",'Unos prihoda i primitaka'!$L$3:$L$501,"=67")</f>
        <v>0</v>
      </c>
      <c r="T39" s="104">
        <f>SUMIFS('Unos prihoda i primitaka'!$H$3:$H$501,'Unos prihoda i primitaka'!$C$3:$C$501,"=63",'Unos prihoda i primitaka'!$L$3:$L$501,"=67")</f>
        <v>0</v>
      </c>
      <c r="U39" s="104">
        <f>SUMIFS('Unos prihoda i primitaka'!$H$3:$H$501,'Unos prihoda i primitaka'!$C$3:$C$501,"=71",'Unos prihoda i primitaka'!$L$3:$L$501,"=67")</f>
        <v>0</v>
      </c>
    </row>
    <row r="40" spans="1:21" s="31" customFormat="1">
      <c r="A40" s="34" t="s">
        <v>3553</v>
      </c>
      <c r="B40" s="35" t="s">
        <v>3554</v>
      </c>
      <c r="C40" s="23">
        <f t="shared" si="5"/>
        <v>0</v>
      </c>
      <c r="D40" s="104">
        <f>SUMIFS('Unos prihoda i primitaka'!$H$3:$H$501,'Unos prihoda i primitaka'!$C$3:$C$501,"=11",'Unos prihoda i primitaka'!$L$3:$L$501,"=68")</f>
        <v>0</v>
      </c>
      <c r="E40" s="104">
        <f>SUMIFS('Unos prihoda i primitaka'!$H$3:$H$501,'Unos prihoda i primitaka'!$C$3:$C$501,"=12",'Unos prihoda i primitaka'!$L$3:$L$501,"=68")</f>
        <v>0</v>
      </c>
      <c r="F40" s="104">
        <f>SUMIFS('Unos prihoda i primitaka'!$H$3:$H$501,'Unos prihoda i primitaka'!$C$3:$C$501,"=31",'Unos prihoda i primitaka'!$L$3:$L$501,"=68")</f>
        <v>0</v>
      </c>
      <c r="G40" s="104">
        <f>SUMIFS('Unos prihoda i primitaka'!$H$3:$H$501,'Unos prihoda i primitaka'!$C$3:$C$501,"=41",'Unos prihoda i primitaka'!$L$3:$L$501,"=68")</f>
        <v>0</v>
      </c>
      <c r="H40" s="104">
        <f>SUMIFS('Unos prihoda i primitaka'!$H$3:$H$501,'Unos prihoda i primitaka'!$C$3:$C$501,"=43",'Unos prihoda i primitaka'!$L$3:$L$501,"=68")</f>
        <v>0</v>
      </c>
      <c r="I40" s="104">
        <f>SUMIFS('Unos prihoda i primitaka'!$H$3:$H$501,'Unos prihoda i primitaka'!$C$3:$C$501,"=51",'Unos prihoda i primitaka'!$L$3:$L$501,"=68")</f>
        <v>0</v>
      </c>
      <c r="J40" s="104">
        <f>SUMIFS('Unos prihoda i primitaka'!$H$3:$H$501,'Unos prihoda i primitaka'!$C$3:$C$501,"=52",'Unos prihoda i primitaka'!$L$3:$L$501,"=68")</f>
        <v>0</v>
      </c>
      <c r="K40" s="104">
        <f>SUMIFS('Unos prihoda i primitaka'!$H$3:$H$501,'Unos prihoda i primitaka'!$C$3:$C$501,"=552",'Unos prihoda i primitaka'!$L$3:$L$501,"=68")</f>
        <v>0</v>
      </c>
      <c r="L40" s="104">
        <f>SUMIFS('Unos prihoda i primitaka'!$H$3:$H$501,'Unos prihoda i primitaka'!$C$3:$C$501,"=559",'Unos prihoda i primitaka'!$L$3:$L$501,"=68")</f>
        <v>0</v>
      </c>
      <c r="M40" s="104">
        <f>SUMIFS('Unos prihoda i primitaka'!$H$3:$H$501,'Unos prihoda i primitaka'!$C$3:$C$501,"=561",'Unos prihoda i primitaka'!$L$3:$L$501,"=68")</f>
        <v>0</v>
      </c>
      <c r="N40" s="104">
        <f>SUMIFS('Unos prihoda i primitaka'!$H$3:$H$501,'Unos prihoda i primitaka'!$C$3:$C$501,"=563",'Unos prihoda i primitaka'!$L$3:$L$501,"=68")</f>
        <v>0</v>
      </c>
      <c r="O40" s="104">
        <f>SUMIFS('Unos prihoda i primitaka'!$H$3:$H$501,'Unos prihoda i primitaka'!$C$3:$C$501,"=573",'Unos prihoda i primitaka'!$L$3:$L$501,"=68")</f>
        <v>0</v>
      </c>
      <c r="P40" s="104">
        <f>SUMIFS('Unos prihoda i primitaka'!$H$3:$H$501,'Unos prihoda i primitaka'!$C$3:$C$501,"=575",'Unos prihoda i primitaka'!$L$3:$L$501,"=68")</f>
        <v>0</v>
      </c>
      <c r="Q40" s="104">
        <f>SUMIFS('Unos prihoda i primitaka'!$H$3:$H$501,'Unos prihoda i primitaka'!$C$3:$C$501,"=576",'Unos prihoda i primitaka'!$L$3:$L$501,"=68")</f>
        <v>0</v>
      </c>
      <c r="R40" s="104">
        <f>SUMIFS('Unos prihoda i primitaka'!$H$3:$H$501,'Unos prihoda i primitaka'!$C$3:$C$501,"=581",'Unos prihoda i primitaka'!$L$3:$L$501,"=68")</f>
        <v>0</v>
      </c>
      <c r="S40" s="104">
        <f>SUMIFS('Unos prihoda i primitaka'!$H$3:$H$501,'Unos prihoda i primitaka'!$C$3:$C$501,"=61",'Unos prihoda i primitaka'!$L$3:$L$501,"=68")</f>
        <v>0</v>
      </c>
      <c r="T40" s="104">
        <f>SUMIFS('Unos prihoda i primitaka'!$H$3:$H$501,'Unos prihoda i primitaka'!$C$3:$C$501,"=63",'Unos prihoda i primitaka'!$L$3:$L$501,"=68")</f>
        <v>0</v>
      </c>
      <c r="U40" s="104">
        <f>SUMIFS('Unos prihoda i primitaka'!$H$3:$H$501,'Unos prihoda i primitaka'!$C$3:$C$501,"=71",'Unos prihoda i primitaka'!$L$3:$L$501,"=68")</f>
        <v>0</v>
      </c>
    </row>
    <row r="41" spans="1:21" s="31" customFormat="1">
      <c r="A41" s="37" t="s">
        <v>3555</v>
      </c>
      <c r="B41" s="38" t="s">
        <v>3556</v>
      </c>
      <c r="C41" s="23">
        <f t="shared" si="5"/>
        <v>8479921</v>
      </c>
      <c r="D41" s="3">
        <f t="shared" ref="D41:U41" si="6">SUM(D34:D40)</f>
        <v>4269463</v>
      </c>
      <c r="E41" s="3">
        <f t="shared" si="6"/>
        <v>0</v>
      </c>
      <c r="F41" s="3">
        <f t="shared" si="6"/>
        <v>247739</v>
      </c>
      <c r="G41" s="3">
        <f t="shared" si="6"/>
        <v>0</v>
      </c>
      <c r="H41" s="3">
        <f t="shared" si="6"/>
        <v>1475571</v>
      </c>
      <c r="I41" s="3">
        <f t="shared" si="6"/>
        <v>252399</v>
      </c>
      <c r="J41" s="3">
        <f t="shared" si="6"/>
        <v>1835141</v>
      </c>
      <c r="K41" s="3">
        <f t="shared" si="6"/>
        <v>0</v>
      </c>
      <c r="L41" s="3">
        <f t="shared" si="6"/>
        <v>0</v>
      </c>
      <c r="M41" s="3">
        <f t="shared" si="6"/>
        <v>0</v>
      </c>
      <c r="N41" s="3">
        <f t="shared" si="6"/>
        <v>0</v>
      </c>
      <c r="O41" s="3">
        <f t="shared" si="6"/>
        <v>0</v>
      </c>
      <c r="P41" s="3">
        <f t="shared" si="6"/>
        <v>0</v>
      </c>
      <c r="Q41" s="3">
        <f t="shared" si="6"/>
        <v>0</v>
      </c>
      <c r="R41" s="3">
        <f t="shared" si="6"/>
        <v>0</v>
      </c>
      <c r="S41" s="3">
        <f t="shared" si="6"/>
        <v>399608</v>
      </c>
      <c r="T41" s="3">
        <f t="shared" si="6"/>
        <v>0</v>
      </c>
      <c r="U41" s="3">
        <f t="shared" si="6"/>
        <v>0</v>
      </c>
    </row>
    <row r="42" spans="1:21" s="31" customFormat="1">
      <c r="A42" s="34" t="s">
        <v>3557</v>
      </c>
      <c r="B42" s="39" t="s">
        <v>3558</v>
      </c>
      <c r="C42" s="23">
        <f t="shared" si="5"/>
        <v>0</v>
      </c>
      <c r="D42" s="104">
        <f>SUMIFS('Unos prihoda i primitaka'!$H$3:$H$501,'Unos prihoda i primitaka'!$C$3:$C$501,"=11",'Unos prihoda i primitaka'!$L$3:$L$501,"=71")</f>
        <v>0</v>
      </c>
      <c r="E42" s="104">
        <f>SUMIFS('Unos prihoda i primitaka'!$H$3:$H$501,'Unos prihoda i primitaka'!$C$3:$C$501,"=12",'Unos prihoda i primitaka'!$L$3:$L$501,"=71")</f>
        <v>0</v>
      </c>
      <c r="F42" s="104">
        <f>SUMIFS('Unos prihoda i primitaka'!$H$3:$H$501,'Unos prihoda i primitaka'!$C$3:$C$501,"=31",'Unos prihoda i primitaka'!$L$3:$L$501,"=71")</f>
        <v>0</v>
      </c>
      <c r="G42" s="104">
        <f>SUMIFS('Unos prihoda i primitaka'!$H$3:$H$501,'Unos prihoda i primitaka'!$C$3:$C$501,"=41",'Unos prihoda i primitaka'!$L$3:$L$501,"=71")</f>
        <v>0</v>
      </c>
      <c r="H42" s="104">
        <f>SUMIFS('Unos prihoda i primitaka'!$H$3:$H$501,'Unos prihoda i primitaka'!$C$3:$C$501,"=43",'Unos prihoda i primitaka'!$L$3:$L$501,"=71")</f>
        <v>0</v>
      </c>
      <c r="I42" s="104">
        <f>SUMIFS('Unos prihoda i primitaka'!$H$3:$H$501,'Unos prihoda i primitaka'!$C$3:$C$501,"=51",'Unos prihoda i primitaka'!$L$3:$L$501,"=71")</f>
        <v>0</v>
      </c>
      <c r="J42" s="104">
        <f>SUMIFS('Unos prihoda i primitaka'!$H$3:$H$501,'Unos prihoda i primitaka'!$C$3:$C$501,"=52",'Unos prihoda i primitaka'!$L$3:$L$501,"=71")</f>
        <v>0</v>
      </c>
      <c r="K42" s="104">
        <f>SUMIFS('Unos prihoda i primitaka'!$H$3:$H$501,'Unos prihoda i primitaka'!$C$3:$C$501,"=552",'Unos prihoda i primitaka'!$L$3:$L$501,"=71")</f>
        <v>0</v>
      </c>
      <c r="L42" s="104">
        <f>SUMIFS('Unos prihoda i primitaka'!$H$3:$H$501,'Unos prihoda i primitaka'!$C$3:$C$501,"=559",'Unos prihoda i primitaka'!$L$3:$L$501,"=71")</f>
        <v>0</v>
      </c>
      <c r="M42" s="104">
        <f>SUMIFS('Unos prihoda i primitaka'!$H$3:$H$501,'Unos prihoda i primitaka'!$C$3:$C$501,"=561",'Unos prihoda i primitaka'!$L$3:$L$501,"=71")</f>
        <v>0</v>
      </c>
      <c r="N42" s="104">
        <f>SUMIFS('Unos prihoda i primitaka'!$H$3:$H$501,'Unos prihoda i primitaka'!$C$3:$C$501,"=563",'Unos prihoda i primitaka'!$L$3:$L$501,"=71")</f>
        <v>0</v>
      </c>
      <c r="O42" s="104">
        <f>SUMIFS('Unos prihoda i primitaka'!$H$3:$H$501,'Unos prihoda i primitaka'!$C$3:$C$501,"=573",'Unos prihoda i primitaka'!$L$3:$L$501,"=71")</f>
        <v>0</v>
      </c>
      <c r="P42" s="104">
        <f>SUMIFS('Unos prihoda i primitaka'!$H$3:$H$501,'Unos prihoda i primitaka'!$C$3:$C$501,"=575",'Unos prihoda i primitaka'!$L$3:$L$501,"=71")</f>
        <v>0</v>
      </c>
      <c r="Q42" s="104">
        <f>SUMIFS('Unos prihoda i primitaka'!$H$3:$H$501,'Unos prihoda i primitaka'!$C$3:$C$501,"=576",'Unos prihoda i primitaka'!$L$3:$L$501,"=71")</f>
        <v>0</v>
      </c>
      <c r="R42" s="104">
        <f>SUMIFS('Unos prihoda i primitaka'!$H$3:$H$501,'Unos prihoda i primitaka'!$C$3:$C$501,"=581",'Unos prihoda i primitaka'!$L$3:$L$501,"=71")</f>
        <v>0</v>
      </c>
      <c r="S42" s="104">
        <f>SUMIFS('Unos prihoda i primitaka'!$H$3:$H$501,'Unos prihoda i primitaka'!$C$3:$C$501,"=61",'Unos prihoda i primitaka'!$L$3:$L$501,"=71")</f>
        <v>0</v>
      </c>
      <c r="T42" s="104">
        <f>SUMIFS('Unos prihoda i primitaka'!$H$3:$H$501,'Unos prihoda i primitaka'!$C$3:$C$501,"=63",'Unos prihoda i primitaka'!$L$3:$L$501,"=71")</f>
        <v>0</v>
      </c>
      <c r="U42" s="104">
        <f>SUMIFS('Unos prihoda i primitaka'!$H$3:$H$501,'Unos prihoda i primitaka'!$C$3:$C$501,"=71",'Unos prihoda i primitaka'!$L$3:$L$501,"=71")</f>
        <v>0</v>
      </c>
    </row>
    <row r="43" spans="1:21" s="31" customFormat="1">
      <c r="A43" s="34" t="s">
        <v>3559</v>
      </c>
      <c r="B43" s="39" t="s">
        <v>3560</v>
      </c>
      <c r="C43" s="23">
        <f t="shared" si="5"/>
        <v>1327</v>
      </c>
      <c r="D43" s="104">
        <f>SUMIFS('Unos prihoda i primitaka'!$H$3:$H$501,'Unos prihoda i primitaka'!$C$3:$C$501,"=11",'Unos prihoda i primitaka'!$L$3:$L$501,"=72")</f>
        <v>0</v>
      </c>
      <c r="E43" s="104">
        <f>SUMIFS('Unos prihoda i primitaka'!$H$3:$H$501,'Unos prihoda i primitaka'!$C$3:$C$501,"=12",'Unos prihoda i primitaka'!$L$3:$L$501,"=72")</f>
        <v>0</v>
      </c>
      <c r="F43" s="104">
        <f>SUMIFS('Unos prihoda i primitaka'!$H$3:$H$501,'Unos prihoda i primitaka'!$C$3:$C$501,"=31",'Unos prihoda i primitaka'!$L$3:$L$501,"=72")</f>
        <v>0</v>
      </c>
      <c r="G43" s="104">
        <f>SUMIFS('Unos prihoda i primitaka'!$H$3:$H$501,'Unos prihoda i primitaka'!$C$3:$C$501,"=41",'Unos prihoda i primitaka'!$L$3:$L$501,"=72")</f>
        <v>0</v>
      </c>
      <c r="H43" s="104">
        <f>SUMIFS('Unos prihoda i primitaka'!$H$3:$H$501,'Unos prihoda i primitaka'!$C$3:$C$501,"=43",'Unos prihoda i primitaka'!$L$3:$L$501,"=72")</f>
        <v>0</v>
      </c>
      <c r="I43" s="104">
        <f>SUMIFS('Unos prihoda i primitaka'!$H$3:$H$501,'Unos prihoda i primitaka'!$C$3:$C$501,"=51",'Unos prihoda i primitaka'!$L$3:$L$501,"=72")</f>
        <v>0</v>
      </c>
      <c r="J43" s="104">
        <f>SUMIFS('Unos prihoda i primitaka'!$H$3:$H$501,'Unos prihoda i primitaka'!$C$3:$C$501,"=52",'Unos prihoda i primitaka'!$L$3:$L$501,"=72")</f>
        <v>0</v>
      </c>
      <c r="K43" s="104">
        <f>SUMIFS('Unos prihoda i primitaka'!$H$3:$H$501,'Unos prihoda i primitaka'!$C$3:$C$501,"=552",'Unos prihoda i primitaka'!$L$3:$L$501,"=72")</f>
        <v>0</v>
      </c>
      <c r="L43" s="104">
        <f>SUMIFS('Unos prihoda i primitaka'!$H$3:$H$501,'Unos prihoda i primitaka'!$C$3:$C$501,"=559",'Unos prihoda i primitaka'!$L$3:$L$501,"=72")</f>
        <v>0</v>
      </c>
      <c r="M43" s="104">
        <f>SUMIFS('Unos prihoda i primitaka'!$H$3:$H$501,'Unos prihoda i primitaka'!$C$3:$C$501,"=561",'Unos prihoda i primitaka'!$L$3:$L$501,"=72")</f>
        <v>0</v>
      </c>
      <c r="N43" s="104">
        <f>SUMIFS('Unos prihoda i primitaka'!$H$3:$H$501,'Unos prihoda i primitaka'!$C$3:$C$501,"=563",'Unos prihoda i primitaka'!$L$3:$L$501,"=72")</f>
        <v>0</v>
      </c>
      <c r="O43" s="104">
        <f>SUMIFS('Unos prihoda i primitaka'!$H$3:$H$501,'Unos prihoda i primitaka'!$C$3:$C$501,"=573",'Unos prihoda i primitaka'!$L$3:$L$501,"=72")</f>
        <v>0</v>
      </c>
      <c r="P43" s="104">
        <f>SUMIFS('Unos prihoda i primitaka'!$H$3:$H$501,'Unos prihoda i primitaka'!$C$3:$C$501,"=575",'Unos prihoda i primitaka'!$L$3:$L$501,"=72")</f>
        <v>0</v>
      </c>
      <c r="Q43" s="104">
        <f>SUMIFS('Unos prihoda i primitaka'!$H$3:$H$501,'Unos prihoda i primitaka'!$C$3:$C$501,"=576",'Unos prihoda i primitaka'!$L$3:$L$501,"=72")</f>
        <v>0</v>
      </c>
      <c r="R43" s="104">
        <f>SUMIFS('Unos prihoda i primitaka'!$H$3:$H$501,'Unos prihoda i primitaka'!$C$3:$C$501,"=581",'Unos prihoda i primitaka'!$L$3:$L$501,"=72")</f>
        <v>0</v>
      </c>
      <c r="S43" s="104">
        <f>SUMIFS('Unos prihoda i primitaka'!$H$3:$H$501,'Unos prihoda i primitaka'!$C$3:$C$501,"=61",'Unos prihoda i primitaka'!$L$3:$L$501,"=72")</f>
        <v>0</v>
      </c>
      <c r="T43" s="104">
        <f>SUMIFS('Unos prihoda i primitaka'!$H$3:$H$501,'Unos prihoda i primitaka'!$C$3:$C$501,"=63",'Unos prihoda i primitaka'!$L$3:$L$501,"=72")</f>
        <v>0</v>
      </c>
      <c r="U43" s="104">
        <f>SUMIFS('Unos prihoda i primitaka'!$H$3:$H$501,'Unos prihoda i primitaka'!$C$3:$C$501,"=71",'Unos prihoda i primitaka'!$L$3:$L$501,"=72")</f>
        <v>1327</v>
      </c>
    </row>
    <row r="44" spans="1:21" s="31" customFormat="1">
      <c r="A44" s="37" t="s">
        <v>3561</v>
      </c>
      <c r="B44" s="38" t="s">
        <v>3556</v>
      </c>
      <c r="C44" s="23">
        <f t="shared" si="5"/>
        <v>1327</v>
      </c>
      <c r="D44" s="3">
        <f t="shared" ref="D44:U44" si="7">SUM(D42:D43)</f>
        <v>0</v>
      </c>
      <c r="E44" s="3">
        <f t="shared" si="7"/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  <c r="N44" s="3">
        <f t="shared" si="7"/>
        <v>0</v>
      </c>
      <c r="O44" s="3">
        <f t="shared" si="7"/>
        <v>0</v>
      </c>
      <c r="P44" s="3">
        <f t="shared" si="7"/>
        <v>0</v>
      </c>
      <c r="Q44" s="3">
        <f t="shared" si="7"/>
        <v>0</v>
      </c>
      <c r="R44" s="3">
        <f t="shared" si="7"/>
        <v>0</v>
      </c>
      <c r="S44" s="3">
        <f t="shared" si="7"/>
        <v>0</v>
      </c>
      <c r="T44" s="3">
        <f t="shared" si="7"/>
        <v>0</v>
      </c>
      <c r="U44" s="3">
        <f t="shared" si="7"/>
        <v>1327</v>
      </c>
    </row>
    <row r="45" spans="1:21">
      <c r="A45" s="19"/>
      <c r="B45" s="19"/>
      <c r="C45" s="19"/>
      <c r="D45" s="19"/>
      <c r="E45" s="19"/>
      <c r="F45" s="19"/>
      <c r="G45" s="19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32"/>
    </row>
    <row r="46" spans="1:21" s="31" customFormat="1" ht="89.25">
      <c r="A46" s="33" t="s">
        <v>3520</v>
      </c>
      <c r="B46" s="33" t="s">
        <v>3521</v>
      </c>
      <c r="C46" s="156" t="s">
        <v>3522</v>
      </c>
      <c r="D46" s="144" t="s">
        <v>3523</v>
      </c>
      <c r="E46" s="144" t="s">
        <v>3524</v>
      </c>
      <c r="F46" s="144" t="s">
        <v>3525</v>
      </c>
      <c r="G46" s="144" t="s">
        <v>3526</v>
      </c>
      <c r="H46" s="144" t="s">
        <v>3527</v>
      </c>
      <c r="I46" s="144" t="s">
        <v>3528</v>
      </c>
      <c r="J46" s="144" t="s">
        <v>3529</v>
      </c>
      <c r="K46" s="144" t="s">
        <v>3530</v>
      </c>
      <c r="L46" s="144" t="s">
        <v>3531</v>
      </c>
      <c r="M46" s="144" t="s">
        <v>3532</v>
      </c>
      <c r="N46" s="144" t="s">
        <v>3533</v>
      </c>
      <c r="O46" s="144" t="s">
        <v>3534</v>
      </c>
      <c r="P46" s="144" t="s">
        <v>3535</v>
      </c>
      <c r="Q46" s="144" t="s">
        <v>3536</v>
      </c>
      <c r="R46" s="2" t="s">
        <v>3537</v>
      </c>
      <c r="S46" s="2" t="s">
        <v>3538</v>
      </c>
      <c r="T46" s="2" t="s">
        <v>3539</v>
      </c>
      <c r="U46" s="2" t="s">
        <v>3540</v>
      </c>
    </row>
    <row r="47" spans="1:21" s="31" customFormat="1" ht="20.25" customHeight="1">
      <c r="A47" s="258">
        <v>2023</v>
      </c>
      <c r="B47" s="258" t="s">
        <v>64</v>
      </c>
      <c r="C47" s="47">
        <f t="shared" ref="C47:C64" si="8">SUM(D47:U47)</f>
        <v>2971919</v>
      </c>
      <c r="D47" s="47">
        <f t="shared" ref="D47:U47" si="9">+D64+D61</f>
        <v>2137353</v>
      </c>
      <c r="E47" s="47">
        <f t="shared" si="9"/>
        <v>0</v>
      </c>
      <c r="F47" s="47">
        <f t="shared" si="9"/>
        <v>132396</v>
      </c>
      <c r="G47" s="47">
        <f t="shared" si="9"/>
        <v>0</v>
      </c>
      <c r="H47" s="47">
        <f t="shared" si="9"/>
        <v>524523</v>
      </c>
      <c r="I47" s="47">
        <f t="shared" si="9"/>
        <v>124568</v>
      </c>
      <c r="J47" s="47">
        <f t="shared" si="9"/>
        <v>45321</v>
      </c>
      <c r="K47" s="47">
        <f t="shared" si="9"/>
        <v>0</v>
      </c>
      <c r="L47" s="47">
        <f t="shared" si="9"/>
        <v>0</v>
      </c>
      <c r="M47" s="47">
        <f t="shared" si="9"/>
        <v>0</v>
      </c>
      <c r="N47" s="47">
        <f t="shared" si="9"/>
        <v>0</v>
      </c>
      <c r="O47" s="47">
        <f t="shared" si="9"/>
        <v>0</v>
      </c>
      <c r="P47" s="47">
        <f t="shared" si="9"/>
        <v>0</v>
      </c>
      <c r="Q47" s="47">
        <f t="shared" si="9"/>
        <v>0</v>
      </c>
      <c r="R47" s="47">
        <f t="shared" si="9"/>
        <v>0</v>
      </c>
      <c r="S47" s="47">
        <f t="shared" si="9"/>
        <v>7758</v>
      </c>
      <c r="T47" s="47">
        <f t="shared" si="9"/>
        <v>0</v>
      </c>
      <c r="U47" s="47">
        <f t="shared" si="9"/>
        <v>0</v>
      </c>
    </row>
    <row r="48" spans="1:21" s="31" customFormat="1">
      <c r="A48" s="36" t="s">
        <v>3541</v>
      </c>
      <c r="B48" s="44" t="s">
        <v>3542</v>
      </c>
      <c r="C48" s="23">
        <f t="shared" si="8"/>
        <v>0</v>
      </c>
      <c r="D48" s="104">
        <f>SUMIFS('Unos prihoda i primitaka'!$I$3:$I$501,'Unos prihoda i primitaka'!$C$3:$C$501,"=11",'Unos prihoda i primitaka'!$L$3:$L$501,"=61")</f>
        <v>0</v>
      </c>
      <c r="E48" s="104">
        <f>SUMIFS('Unos prihoda i primitaka'!$I$3:$I$501,'Unos prihoda i primitaka'!$C$3:$C$501,"=12",'Unos prihoda i primitaka'!$L$3:$L$501,"=61")</f>
        <v>0</v>
      </c>
      <c r="F48" s="104">
        <f>SUMIFS('Unos prihoda i primitaka'!$I$3:$I$501,'Unos prihoda i primitaka'!$C$3:$C$501,"=31",'Unos prihoda i primitaka'!$L$3:$L$501,"=61")</f>
        <v>0</v>
      </c>
      <c r="G48" s="104">
        <f>SUMIFS('Unos prihoda i primitaka'!$I$3:$I$501,'Unos prihoda i primitaka'!$C$3:$C$501,"=41",'Unos prihoda i primitaka'!$L$3:$L$501,"=61")</f>
        <v>0</v>
      </c>
      <c r="H48" s="104">
        <f>SUMIFS('Unos prihoda i primitaka'!$I$3:$I$501,'Unos prihoda i primitaka'!$C$3:$C$501,"=43",'Unos prihoda i primitaka'!$L$3:$L$501,"=61")</f>
        <v>0</v>
      </c>
      <c r="I48" s="104">
        <f>SUMIFS('Unos prihoda i primitaka'!$I$3:$I$501,'Unos prihoda i primitaka'!$C$3:$C$501,"=51",'Unos prihoda i primitaka'!$L$3:$L$501,"=61")</f>
        <v>0</v>
      </c>
      <c r="J48" s="104">
        <f>SUMIFS('Unos prihoda i primitaka'!$I$3:$I$501,'Unos prihoda i primitaka'!$C$3:$C$501,"=52",'Unos prihoda i primitaka'!$L$3:$L$501,"=61")</f>
        <v>0</v>
      </c>
      <c r="K48" s="104">
        <f>SUMIFS('Unos prihoda i primitaka'!$I$3:$I$501,'Unos prihoda i primitaka'!$C$3:$C$501,"=552",'Unos prihoda i primitaka'!$L$3:$L$501,"=61")</f>
        <v>0</v>
      </c>
      <c r="L48" s="104">
        <f>SUMIFS('Unos prihoda i primitaka'!$I$3:$I$501,'Unos prihoda i primitaka'!$C$3:$C$501,"=559",'Unos prihoda i primitaka'!$L$3:$L$501,"=61")</f>
        <v>0</v>
      </c>
      <c r="M48" s="104">
        <f>SUMIFS('Unos prihoda i primitaka'!$I$3:$I$501,'Unos prihoda i primitaka'!$C$3:$C$501,"=561",'Unos prihoda i primitaka'!$L$3:$L$501,"=61")</f>
        <v>0</v>
      </c>
      <c r="N48" s="104">
        <f>SUMIFS('Unos prihoda i primitaka'!$I$3:$I$501,'Unos prihoda i primitaka'!$C$3:$C$501,"=563",'Unos prihoda i primitaka'!$L$3:$L$501,"=61")</f>
        <v>0</v>
      </c>
      <c r="O48" s="104">
        <f>SUMIFS('Unos prihoda i primitaka'!$I$3:$I$501,'Unos prihoda i primitaka'!$C$3:$C$501,"=573",'Unos prihoda i primitaka'!$L$3:$L$501,"=61")</f>
        <v>0</v>
      </c>
      <c r="P48" s="104">
        <f>SUMIFS('Unos prihoda i primitaka'!$I$3:$I$501,'Unos prihoda i primitaka'!$C$3:$C$501,"=575",'Unos prihoda i primitaka'!$L$3:$L$501,"=61")</f>
        <v>0</v>
      </c>
      <c r="Q48" s="104">
        <f>SUMIFS('Unos prihoda i primitaka'!$I$3:$I$501,'Unos prihoda i primitaka'!$C$3:$C$501,"=576",'Unos prihoda i primitaka'!$L$3:$L$501,"=61")</f>
        <v>0</v>
      </c>
      <c r="R48" s="104">
        <f>SUMIFS('Unos prihoda i primitaka'!$I$3:$I$501,'Unos prihoda i primitaka'!$C$3:$C$501,"=581",'Unos prihoda i primitaka'!$L$3:$L$501,"=61")</f>
        <v>0</v>
      </c>
      <c r="S48" s="104">
        <f>SUMIFS('Unos prihoda i primitaka'!$I$3:$I$501,'Unos prihoda i primitaka'!$C$3:$C$501,"=61",'Unos prihoda i primitaka'!$L$3:$L$501,"=61")</f>
        <v>0</v>
      </c>
      <c r="T48" s="104">
        <f>SUMIFS('Unos prihoda i primitaka'!$I$3:$I$501,'Unos prihoda i primitaka'!$C$3:$C$501,"=63",'Unos prihoda i primitaka'!$L$3:$L$501,"=61")</f>
        <v>0</v>
      </c>
      <c r="U48" s="104">
        <f>SUMIFS('Unos prihoda i primitaka'!$I$3:$I$501,'Unos prihoda i primitaka'!$C$3:$C$501,"=71",'Unos prihoda i primitaka'!$L$3:$L$501,"=61")</f>
        <v>0</v>
      </c>
    </row>
    <row r="52" spans="1:21" s="31" customFormat="1" ht="25.5">
      <c r="A52" s="36" t="s">
        <v>3543</v>
      </c>
      <c r="B52" s="44" t="s">
        <v>3544</v>
      </c>
      <c r="C52" s="23">
        <f t="shared" si="8"/>
        <v>169889</v>
      </c>
      <c r="D52" s="104">
        <f>SUMIFS('Unos prihoda i primitaka'!$I$3:$I$501,'Unos prihoda i primitaka'!$C$3:$C$501,"=11",'Unos prihoda i primitaka'!$L$3:$L$501,"=63")</f>
        <v>0</v>
      </c>
      <c r="E52" s="104">
        <f>SUMIFS('Unos prihoda i primitaka'!$I$3:$I$501,'Unos prihoda i primitaka'!$C$3:$C$501,"=12",'Unos prihoda i primitaka'!$L$3:$L$501,"=63")</f>
        <v>0</v>
      </c>
      <c r="F52" s="104">
        <f>SUMIFS('Unos prihoda i primitaka'!$I$3:$I$501,'Unos prihoda i primitaka'!$C$3:$C$501,"=31",'Unos prihoda i primitaka'!$L$3:$L$501,"=63")</f>
        <v>0</v>
      </c>
      <c r="G52" s="104">
        <f>SUMIFS('Unos prihoda i primitaka'!$I$3:$I$501,'Unos prihoda i primitaka'!$C$3:$C$501,"=41",'Unos prihoda i primitaka'!$L$3:$L$501,"=63")</f>
        <v>0</v>
      </c>
      <c r="H52" s="104">
        <f>SUMIFS('Unos prihoda i primitaka'!$I$3:$I$501,'Unos prihoda i primitaka'!$C$3:$C$501,"=43",'Unos prihoda i primitaka'!$L$3:$L$501,"=63")</f>
        <v>0</v>
      </c>
      <c r="I52" s="104">
        <f>SUMIFS('Unos prihoda i primitaka'!$I$3:$I$501,'Unos prihoda i primitaka'!$C$3:$C$501,"=51",'Unos prihoda i primitaka'!$L$3:$L$501,"=63")</f>
        <v>124568</v>
      </c>
      <c r="J52" s="104">
        <f>SUMIFS('Unos prihoda i primitaka'!$I$3:$I$501,'Unos prihoda i primitaka'!$C$3:$C$501,"=52",'Unos prihoda i primitaka'!$L$3:$L$501,"=63")</f>
        <v>45321</v>
      </c>
      <c r="K52" s="104">
        <f>SUMIFS('Unos prihoda i primitaka'!$I$3:$I$501,'Unos prihoda i primitaka'!$C$3:$C$501,"=552",'Unos prihoda i primitaka'!$L$3:$L$501,"=63")</f>
        <v>0</v>
      </c>
      <c r="L52" s="104">
        <f>SUMIFS('Unos prihoda i primitaka'!$I$3:$I$501,'Unos prihoda i primitaka'!$C$3:$C$501,"=559",'Unos prihoda i primitaka'!$L$3:$L$501,"=63")</f>
        <v>0</v>
      </c>
      <c r="M52" s="104">
        <f>SUMIFS('Unos prihoda i primitaka'!$I$3:$I$501,'Unos prihoda i primitaka'!$C$3:$C$501,"=561",'Unos prihoda i primitaka'!$L$3:$L$501,"=63")</f>
        <v>0</v>
      </c>
      <c r="N52" s="104">
        <f>SUMIFS('Unos prihoda i primitaka'!$I$3:$I$501,'Unos prihoda i primitaka'!$C$3:$C$501,"=563",'Unos prihoda i primitaka'!$L$3:$L$501,"=63")</f>
        <v>0</v>
      </c>
      <c r="O52" s="104">
        <f>SUMIFS('Unos prihoda i primitaka'!$I$3:$I$501,'Unos prihoda i primitaka'!$C$3:$C$501,"=573",'Unos prihoda i primitaka'!$L$3:$L$501,"=63")</f>
        <v>0</v>
      </c>
      <c r="P52" s="104">
        <f>SUMIFS('Unos prihoda i primitaka'!$I$3:$I$501,'Unos prihoda i primitaka'!$C$3:$C$501,"=575",'Unos prihoda i primitaka'!$L$3:$L$501,"=63")</f>
        <v>0</v>
      </c>
      <c r="Q52" s="104">
        <f>SUMIFS('Unos prihoda i primitaka'!$I$3:$I$501,'Unos prihoda i primitaka'!$C$3:$C$501,"=576",'Unos prihoda i primitaka'!$L$3:$L$501,"=63")</f>
        <v>0</v>
      </c>
      <c r="R52" s="104">
        <f>SUMIFS('Unos prihoda i primitaka'!$I$3:$I$501,'Unos prihoda i primitaka'!$C$3:$C$501,"=581",'Unos prihoda i primitaka'!$L$3:$L$501,"=63")</f>
        <v>0</v>
      </c>
      <c r="S52" s="104">
        <f>SUMIFS('Unos prihoda i primitaka'!$I$3:$I$501,'Unos prihoda i primitaka'!$C$3:$C$501,"=61",'Unos prihoda i primitaka'!$L$3:$L$501,"=63")</f>
        <v>0</v>
      </c>
      <c r="T52" s="104">
        <f>SUMIFS('Unos prihoda i primitaka'!$I$3:$I$501,'Unos prihoda i primitaka'!$C$3:$C$501,"=63",'Unos prihoda i primitaka'!$L$3:$L$501,"=63")</f>
        <v>0</v>
      </c>
      <c r="U52" s="104">
        <f>SUMIFS('Unos prihoda i primitaka'!$I$3:$I$501,'Unos prihoda i primitaka'!$C$3:$C$501,"=71",'Unos prihoda i primitaka'!$L$3:$L$501,"=63")</f>
        <v>0</v>
      </c>
    </row>
    <row r="53" spans="1:21" s="31" customFormat="1">
      <c r="A53" s="36"/>
      <c r="B53" s="44"/>
      <c r="C53" s="23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</row>
    <row r="54" spans="1:21" s="31" customFormat="1">
      <c r="A54" s="36"/>
      <c r="B54" s="44"/>
      <c r="C54" s="23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</row>
    <row r="55" spans="1:21" s="31" customFormat="1">
      <c r="A55" s="36"/>
      <c r="B55" s="44"/>
      <c r="C55" s="2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</row>
    <row r="56" spans="1:21" s="31" customFormat="1">
      <c r="A56" s="34" t="s">
        <v>3545</v>
      </c>
      <c r="B56" s="35" t="s">
        <v>3546</v>
      </c>
      <c r="C56" s="23">
        <f t="shared" si="8"/>
        <v>570</v>
      </c>
      <c r="D56" s="104">
        <f>SUMIFS('Unos prihoda i primitaka'!$I$3:$I$501,'Unos prihoda i primitaka'!$C$3:$C$501,"=11",'Unos prihoda i primitaka'!$L$3:$L$501,"=64")</f>
        <v>0</v>
      </c>
      <c r="E56" s="104">
        <f>SUMIFS('Unos prihoda i primitaka'!$I$3:$I$501,'Unos prihoda i primitaka'!$C$3:$C$501,"=12",'Unos prihoda i primitaka'!$L$3:$L$501,"=64")</f>
        <v>0</v>
      </c>
      <c r="F56" s="104">
        <f>SUMIFS('Unos prihoda i primitaka'!$I$3:$I$501,'Unos prihoda i primitaka'!$C$3:$C$501,"=31",'Unos prihoda i primitaka'!$L$3:$L$501,"=64")</f>
        <v>525</v>
      </c>
      <c r="G56" s="104">
        <f>SUMIFS('Unos prihoda i primitaka'!$I$3:$I$501,'Unos prihoda i primitaka'!$C$3:$C$501,"=41",'Unos prihoda i primitaka'!$L$3:$L$501,"=64")</f>
        <v>0</v>
      </c>
      <c r="H56" s="104">
        <f>SUMIFS('Unos prihoda i primitaka'!$I$3:$I$501,'Unos prihoda i primitaka'!$C$3:$C$501,"=43",'Unos prihoda i primitaka'!$L$3:$L$501,"=64")</f>
        <v>45</v>
      </c>
      <c r="I56" s="104">
        <f>SUMIFS('Unos prihoda i primitaka'!$I$3:$I$501,'Unos prihoda i primitaka'!$C$3:$C$501,"=51",'Unos prihoda i primitaka'!$L$3:$L$501,"=64")</f>
        <v>0</v>
      </c>
      <c r="J56" s="104">
        <f>SUMIFS('Unos prihoda i primitaka'!$I$3:$I$501,'Unos prihoda i primitaka'!$C$3:$C$501,"=52",'Unos prihoda i primitaka'!$L$3:$L$501,"=64")</f>
        <v>0</v>
      </c>
      <c r="K56" s="104">
        <f>SUMIFS('Unos prihoda i primitaka'!$I$3:$I$501,'Unos prihoda i primitaka'!$C$3:$C$501,"=552",'Unos prihoda i primitaka'!$L$3:$L$501,"=64")</f>
        <v>0</v>
      </c>
      <c r="L56" s="104">
        <f>SUMIFS('Unos prihoda i primitaka'!$I$3:$I$501,'Unos prihoda i primitaka'!$C$3:$C$501,"=559",'Unos prihoda i primitaka'!$L$3:$L$501,"=64")</f>
        <v>0</v>
      </c>
      <c r="M56" s="104">
        <f>SUMIFS('Unos prihoda i primitaka'!$I$3:$I$501,'Unos prihoda i primitaka'!$C$3:$C$501,"=561",'Unos prihoda i primitaka'!$L$3:$L$501,"=64")</f>
        <v>0</v>
      </c>
      <c r="N56" s="104">
        <f>SUMIFS('Unos prihoda i primitaka'!$I$3:$I$501,'Unos prihoda i primitaka'!$C$3:$C$501,"=563",'Unos prihoda i primitaka'!$L$3:$L$501,"=64")</f>
        <v>0</v>
      </c>
      <c r="O56" s="104">
        <f>SUMIFS('Unos prihoda i primitaka'!$I$3:$I$501,'Unos prihoda i primitaka'!$C$3:$C$501,"=573",'Unos prihoda i primitaka'!$L$3:$L$501,"=64")</f>
        <v>0</v>
      </c>
      <c r="P56" s="104">
        <f>SUMIFS('Unos prihoda i primitaka'!$I$3:$I$501,'Unos prihoda i primitaka'!$C$3:$C$501,"=575",'Unos prihoda i primitaka'!$L$3:$L$501,"=64")</f>
        <v>0</v>
      </c>
      <c r="Q56" s="104">
        <f>SUMIFS('Unos prihoda i primitaka'!$I$3:$I$501,'Unos prihoda i primitaka'!$C$3:$C$501,"=576",'Unos prihoda i primitaka'!$L$3:$L$501,"=64")</f>
        <v>0</v>
      </c>
      <c r="R56" s="104">
        <f>SUMIFS('Unos prihoda i primitaka'!$I$3:$I$501,'Unos prihoda i primitaka'!$C$3:$C$501,"=581",'Unos prihoda i primitaka'!$L$3:$L$501,"=64")</f>
        <v>0</v>
      </c>
      <c r="S56" s="104">
        <f>SUMIFS('Unos prihoda i primitaka'!$I$3:$I$501,'Unos prihoda i primitaka'!$C$3:$C$501,"=61",'Unos prihoda i primitaka'!$L$3:$L$501,"=64")</f>
        <v>0</v>
      </c>
      <c r="T56" s="104">
        <f>SUMIFS('Unos prihoda i primitaka'!$I$3:$I$501,'Unos prihoda i primitaka'!$C$3:$C$501,"=63",'Unos prihoda i primitaka'!$L$3:$L$501,"=64")</f>
        <v>0</v>
      </c>
      <c r="U56" s="104">
        <f>SUMIFS('Unos prihoda i primitaka'!$I$3:$I$501,'Unos prihoda i primitaka'!$C$3:$C$501,"=71",'Unos prihoda i primitaka'!$L$3:$L$501,"=64")</f>
        <v>0</v>
      </c>
    </row>
    <row r="57" spans="1:21" s="31" customFormat="1" ht="25.5">
      <c r="A57" s="34" t="s">
        <v>3547</v>
      </c>
      <c r="B57" s="35" t="s">
        <v>3548</v>
      </c>
      <c r="C57" s="23">
        <f t="shared" si="8"/>
        <v>524478</v>
      </c>
      <c r="D57" s="104">
        <f>SUMIFS('Unos prihoda i primitaka'!$I$3:$I$501,'Unos prihoda i primitaka'!$C$3:$C$501,"=11",'Unos prihoda i primitaka'!$L$3:$L$501,"=65")</f>
        <v>0</v>
      </c>
      <c r="E57" s="104">
        <f>SUMIFS('Unos prihoda i primitaka'!$I$3:$I$501,'Unos prihoda i primitaka'!$C$3:$C$501,"=12",'Unos prihoda i primitaka'!$L$3:$L$501,"=65")</f>
        <v>0</v>
      </c>
      <c r="F57" s="104">
        <f>SUMIFS('Unos prihoda i primitaka'!$I$3:$I$501,'Unos prihoda i primitaka'!$C$3:$C$501,"=31",'Unos prihoda i primitaka'!$L$3:$L$501,"=65")</f>
        <v>0</v>
      </c>
      <c r="G57" s="104">
        <f>SUMIFS('Unos prihoda i primitaka'!$I$3:$I$501,'Unos prihoda i primitaka'!$C$3:$C$501,"=41",'Unos prihoda i primitaka'!$L$3:$L$501,"=65")</f>
        <v>0</v>
      </c>
      <c r="H57" s="104">
        <f>SUMIFS('Unos prihoda i primitaka'!$I$3:$I$501,'Unos prihoda i primitaka'!$C$3:$C$501,"=43",'Unos prihoda i primitaka'!$L$3:$L$501,"=65")</f>
        <v>524478</v>
      </c>
      <c r="I57" s="104">
        <f>SUMIFS('Unos prihoda i primitaka'!$I$3:$I$501,'Unos prihoda i primitaka'!$C$3:$C$501,"=51",'Unos prihoda i primitaka'!$L$3:$L$501,"=65")</f>
        <v>0</v>
      </c>
      <c r="J57" s="104">
        <f>SUMIFS('Unos prihoda i primitaka'!$I$3:$I$501,'Unos prihoda i primitaka'!$C$3:$C$501,"=52",'Unos prihoda i primitaka'!$L$3:$L$501,"=65")</f>
        <v>0</v>
      </c>
      <c r="K57" s="104">
        <f>SUMIFS('Unos prihoda i primitaka'!$I$3:$I$501,'Unos prihoda i primitaka'!$C$3:$C$501,"=552",'Unos prihoda i primitaka'!$L$3:$L$501,"=65")</f>
        <v>0</v>
      </c>
      <c r="L57" s="104">
        <f>SUMIFS('Unos prihoda i primitaka'!$I$3:$I$501,'Unos prihoda i primitaka'!$C$3:$C$501,"=559",'Unos prihoda i primitaka'!$L$3:$L$501,"=65")</f>
        <v>0</v>
      </c>
      <c r="M57" s="104">
        <f>SUMIFS('Unos prihoda i primitaka'!$I$3:$I$501,'Unos prihoda i primitaka'!$C$3:$C$501,"=561",'Unos prihoda i primitaka'!$L$3:$L$501,"=65")</f>
        <v>0</v>
      </c>
      <c r="N57" s="104">
        <f>SUMIFS('Unos prihoda i primitaka'!$I$3:$I$501,'Unos prihoda i primitaka'!$C$3:$C$501,"=563",'Unos prihoda i primitaka'!$L$3:$L$501,"=65")</f>
        <v>0</v>
      </c>
      <c r="O57" s="104">
        <f>SUMIFS('Unos prihoda i primitaka'!$I$3:$I$501,'Unos prihoda i primitaka'!$C$3:$C$501,"=573",'Unos prihoda i primitaka'!$L$3:$L$501,"=65")</f>
        <v>0</v>
      </c>
      <c r="P57" s="104">
        <f>SUMIFS('Unos prihoda i primitaka'!$I$3:$I$501,'Unos prihoda i primitaka'!$C$3:$C$501,"=575",'Unos prihoda i primitaka'!$L$3:$L$501,"=65")</f>
        <v>0</v>
      </c>
      <c r="Q57" s="104">
        <f>SUMIFS('Unos prihoda i primitaka'!$I$3:$I$501,'Unos prihoda i primitaka'!$C$3:$C$501,"=576",'Unos prihoda i primitaka'!$L$3:$L$501,"=65")</f>
        <v>0</v>
      </c>
      <c r="R57" s="104">
        <f>SUMIFS('Unos prihoda i primitaka'!$I$3:$I$501,'Unos prihoda i primitaka'!$C$3:$C$501,"=581",'Unos prihoda i primitaka'!$L$3:$L$501,"=65")</f>
        <v>0</v>
      </c>
      <c r="S57" s="104">
        <f>SUMIFS('Unos prihoda i primitaka'!$I$3:$I$501,'Unos prihoda i primitaka'!$C$3:$C$501,"=61",'Unos prihoda i primitaka'!$L$3:$L$501,"=65")</f>
        <v>0</v>
      </c>
      <c r="T57" s="104">
        <f>SUMIFS('Unos prihoda i primitaka'!$I$3:$I$501,'Unos prihoda i primitaka'!$C$3:$C$501,"=63",'Unos prihoda i primitaka'!$L$3:$L$501,"=65")</f>
        <v>0</v>
      </c>
      <c r="U57" s="104">
        <f>SUMIFS('Unos prihoda i primitaka'!$I$3:$I$501,'Unos prihoda i primitaka'!$C$3:$C$501,"=71",'Unos prihoda i primitaka'!$L$3:$L$501,"=65")</f>
        <v>0</v>
      </c>
    </row>
    <row r="58" spans="1:21" s="31" customFormat="1" ht="25.5">
      <c r="A58" s="117" t="s">
        <v>3549</v>
      </c>
      <c r="B58" s="35" t="s">
        <v>3550</v>
      </c>
      <c r="C58" s="23">
        <f t="shared" si="8"/>
        <v>139629</v>
      </c>
      <c r="D58" s="104">
        <f>SUMIFS('Unos prihoda i primitaka'!$I$3:$I$501,'Unos prihoda i primitaka'!$C$3:$C$501,"=11",'Unos prihoda i primitaka'!$L$3:$L$501,"=66")</f>
        <v>0</v>
      </c>
      <c r="E58" s="104">
        <f>SUMIFS('Unos prihoda i primitaka'!$I$3:$I$501,'Unos prihoda i primitaka'!$C$3:$C$501,"=12",'Unos prihoda i primitaka'!$L$3:$L$501,"=66")</f>
        <v>0</v>
      </c>
      <c r="F58" s="104">
        <f>SUMIFS('Unos prihoda i primitaka'!$I$3:$I$501,'Unos prihoda i primitaka'!$C$3:$C$501,"=31",'Unos prihoda i primitaka'!$L$3:$L$501,"=66")</f>
        <v>131871</v>
      </c>
      <c r="G58" s="104">
        <f>SUMIFS('Unos prihoda i primitaka'!$I$3:$I$501,'Unos prihoda i primitaka'!$C$3:$C$501,"=41",'Unos prihoda i primitaka'!$L$3:$L$501,"=66")</f>
        <v>0</v>
      </c>
      <c r="H58" s="104">
        <f>SUMIFS('Unos prihoda i primitaka'!$I$3:$I$501,'Unos prihoda i primitaka'!$C$3:$C$501,"=43",'Unos prihoda i primitaka'!$L$3:$L$501,"=66")</f>
        <v>0</v>
      </c>
      <c r="I58" s="104">
        <f>SUMIFS('Unos prihoda i primitaka'!$I$3:$I$501,'Unos prihoda i primitaka'!$C$3:$C$501,"=51",'Unos prihoda i primitaka'!$L$3:$L$501,"=66")</f>
        <v>0</v>
      </c>
      <c r="J58" s="104">
        <f>SUMIFS('Unos prihoda i primitaka'!$I$3:$I$501,'Unos prihoda i primitaka'!$C$3:$C$501,"=52",'Unos prihoda i primitaka'!$L$3:$L$501,"=66")</f>
        <v>0</v>
      </c>
      <c r="K58" s="104">
        <f>SUMIFS('Unos prihoda i primitaka'!$I$3:$I$501,'Unos prihoda i primitaka'!$C$3:$C$501,"=552",'Unos prihoda i primitaka'!$L$3:$L$501,"=66")</f>
        <v>0</v>
      </c>
      <c r="L58" s="104">
        <f>SUMIFS('Unos prihoda i primitaka'!$I$3:$I$501,'Unos prihoda i primitaka'!$C$3:$C$501,"=559",'Unos prihoda i primitaka'!$L$3:$L$501,"=66")</f>
        <v>0</v>
      </c>
      <c r="M58" s="104">
        <f>SUMIFS('Unos prihoda i primitaka'!$I$3:$I$501,'Unos prihoda i primitaka'!$C$3:$C$501,"=561",'Unos prihoda i primitaka'!$L$3:$L$501,"=66")</f>
        <v>0</v>
      </c>
      <c r="N58" s="104">
        <f>SUMIFS('Unos prihoda i primitaka'!$I$3:$I$501,'Unos prihoda i primitaka'!$C$3:$C$501,"=563",'Unos prihoda i primitaka'!$L$3:$L$501,"=66")</f>
        <v>0</v>
      </c>
      <c r="O58" s="104">
        <f>SUMIFS('Unos prihoda i primitaka'!$I$3:$I$501,'Unos prihoda i primitaka'!$C$3:$C$501,"=573",'Unos prihoda i primitaka'!$L$3:$L$501,"=66")</f>
        <v>0</v>
      </c>
      <c r="P58" s="104">
        <f>SUMIFS('Unos prihoda i primitaka'!$I$3:$I$501,'Unos prihoda i primitaka'!$C$3:$C$501,"=575",'Unos prihoda i primitaka'!$L$3:$L$501,"=66")</f>
        <v>0</v>
      </c>
      <c r="Q58" s="104">
        <f>SUMIFS('Unos prihoda i primitaka'!$I$3:$I$501,'Unos prihoda i primitaka'!$C$3:$C$501,"=576",'Unos prihoda i primitaka'!$L$3:$L$501,"=66")</f>
        <v>0</v>
      </c>
      <c r="R58" s="104">
        <f>SUMIFS('Unos prihoda i primitaka'!$I$3:$I$501,'Unos prihoda i primitaka'!$C$3:$C$501,"=581",'Unos prihoda i primitaka'!$L$3:$L$501,"=66")</f>
        <v>0</v>
      </c>
      <c r="S58" s="104">
        <f>SUMIFS('Unos prihoda i primitaka'!$I$3:$I$501,'Unos prihoda i primitaka'!$C$3:$C$501,"=61",'Unos prihoda i primitaka'!$L$3:$L$501,"=66")</f>
        <v>7758</v>
      </c>
      <c r="T58" s="104">
        <f>SUMIFS('Unos prihoda i primitaka'!$I$3:$I$501,'Unos prihoda i primitaka'!$C$3:$C$501,"=63",'Unos prihoda i primitaka'!$L$3:$L$501,"=66")</f>
        <v>0</v>
      </c>
      <c r="U58" s="104">
        <f>SUMIFS('Unos prihoda i primitaka'!$I$3:$I$501,'Unos prihoda i primitaka'!$C$3:$C$501,"=71",'Unos prihoda i primitaka'!$L$3:$L$501,"=66")</f>
        <v>0</v>
      </c>
    </row>
    <row r="59" spans="1:21" s="31" customFormat="1">
      <c r="A59" s="34" t="s">
        <v>3551</v>
      </c>
      <c r="B59" s="35" t="s">
        <v>3552</v>
      </c>
      <c r="C59" s="23">
        <f t="shared" si="8"/>
        <v>2137353</v>
      </c>
      <c r="D59" s="104">
        <f>SUMIFS('Unos prihoda i primitaka'!$I$3:$I$501,'Unos prihoda i primitaka'!$C$3:$C$501,"=11",'Unos prihoda i primitaka'!$L$3:$L$501,"=67")</f>
        <v>2137353</v>
      </c>
      <c r="E59" s="104">
        <f>SUMIFS('Unos prihoda i primitaka'!$I$3:$I$501,'Unos prihoda i primitaka'!$C$3:$C$501,"=12",'Unos prihoda i primitaka'!$L$3:$L$501,"=67")</f>
        <v>0</v>
      </c>
      <c r="F59" s="104">
        <f>SUMIFS('Unos prihoda i primitaka'!$I$3:$I$501,'Unos prihoda i primitaka'!$C$3:$C$501,"=31",'Unos prihoda i primitaka'!$L$3:$L$501,"=67")</f>
        <v>0</v>
      </c>
      <c r="G59" s="104">
        <f>SUMIFS('Unos prihoda i primitaka'!$I$3:$I$501,'Unos prihoda i primitaka'!$C$3:$C$501,"=41",'Unos prihoda i primitaka'!$L$3:$L$501,"=67")</f>
        <v>0</v>
      </c>
      <c r="H59" s="104">
        <f>SUMIFS('Unos prihoda i primitaka'!$I$3:$I$501,'Unos prihoda i primitaka'!$C$3:$C$501,"=43",'Unos prihoda i primitaka'!$L$3:$L$501,"=67")</f>
        <v>0</v>
      </c>
      <c r="I59" s="104">
        <f>SUMIFS('Unos prihoda i primitaka'!$I$3:$I$501,'Unos prihoda i primitaka'!$C$3:$C$501,"=51",'Unos prihoda i primitaka'!$L$3:$L$501,"=67")</f>
        <v>0</v>
      </c>
      <c r="J59" s="104">
        <f>SUMIFS('Unos prihoda i primitaka'!$I$3:$I$501,'Unos prihoda i primitaka'!$C$3:$C$501,"=52",'Unos prihoda i primitaka'!$L$3:$L$501,"=67")</f>
        <v>0</v>
      </c>
      <c r="K59" s="104">
        <f>SUMIFS('Unos prihoda i primitaka'!$I$3:$I$501,'Unos prihoda i primitaka'!$C$3:$C$501,"=552",'Unos prihoda i primitaka'!$L$3:$L$501,"=67")</f>
        <v>0</v>
      </c>
      <c r="L59" s="104">
        <f>SUMIFS('Unos prihoda i primitaka'!$I$3:$I$501,'Unos prihoda i primitaka'!$C$3:$C$501,"=559",'Unos prihoda i primitaka'!$L$3:$L$501,"=67")</f>
        <v>0</v>
      </c>
      <c r="M59" s="104">
        <f>SUMIFS('Unos prihoda i primitaka'!$I$3:$I$501,'Unos prihoda i primitaka'!$C$3:$C$501,"=561",'Unos prihoda i primitaka'!$L$3:$L$501,"=67")</f>
        <v>0</v>
      </c>
      <c r="N59" s="104">
        <f>SUMIFS('Unos prihoda i primitaka'!$I$3:$I$501,'Unos prihoda i primitaka'!$C$3:$C$501,"=563",'Unos prihoda i primitaka'!$L$3:$L$501,"=67")</f>
        <v>0</v>
      </c>
      <c r="O59" s="104">
        <f>SUMIFS('Unos prihoda i primitaka'!$I$3:$I$501,'Unos prihoda i primitaka'!$C$3:$C$501,"=573",'Unos prihoda i primitaka'!$L$3:$L$501,"=67")</f>
        <v>0</v>
      </c>
      <c r="P59" s="104">
        <f>SUMIFS('Unos prihoda i primitaka'!$I$3:$I$501,'Unos prihoda i primitaka'!$C$3:$C$501,"=575",'Unos prihoda i primitaka'!$L$3:$L$501,"=67")</f>
        <v>0</v>
      </c>
      <c r="Q59" s="104">
        <f>SUMIFS('Unos prihoda i primitaka'!$I$3:$I$501,'Unos prihoda i primitaka'!$C$3:$C$501,"=576",'Unos prihoda i primitaka'!$L$3:$L$501,"=67")</f>
        <v>0</v>
      </c>
      <c r="R59" s="104">
        <f>SUMIFS('Unos prihoda i primitaka'!$I$3:$I$501,'Unos prihoda i primitaka'!$C$3:$C$501,"=581",'Unos prihoda i primitaka'!$L$3:$L$501,"=67")</f>
        <v>0</v>
      </c>
      <c r="S59" s="104">
        <f>SUMIFS('Unos prihoda i primitaka'!$I$3:$I$501,'Unos prihoda i primitaka'!$C$3:$C$501,"=61",'Unos prihoda i primitaka'!$L$3:$L$501,"=67")</f>
        <v>0</v>
      </c>
      <c r="T59" s="104">
        <f>SUMIFS('Unos prihoda i primitaka'!$I$3:$I$501,'Unos prihoda i primitaka'!$C$3:$C$501,"=63",'Unos prihoda i primitaka'!$L$3:$L$501,"=67")</f>
        <v>0</v>
      </c>
      <c r="U59" s="104">
        <f>SUMIFS('Unos prihoda i primitaka'!$I$3:$I$501,'Unos prihoda i primitaka'!$C$3:$C$501,"=71",'Unos prihoda i primitaka'!$L$3:$L$501,"=67")</f>
        <v>0</v>
      </c>
    </row>
    <row r="60" spans="1:21" s="31" customFormat="1">
      <c r="A60" s="34" t="s">
        <v>3553</v>
      </c>
      <c r="B60" s="35" t="s">
        <v>3554</v>
      </c>
      <c r="C60" s="23">
        <f t="shared" si="8"/>
        <v>0</v>
      </c>
      <c r="D60" s="104">
        <f>SUMIFS('Unos prihoda i primitaka'!$I$3:$I$501,'Unos prihoda i primitaka'!$C$3:$C$501,"=11",'Unos prihoda i primitaka'!$L$3:$L$501,"=68")</f>
        <v>0</v>
      </c>
      <c r="E60" s="104">
        <f>SUMIFS('Unos prihoda i primitaka'!$I$3:$I$501,'Unos prihoda i primitaka'!$C$3:$C$501,"=12",'Unos prihoda i primitaka'!$L$3:$L$501,"=68")</f>
        <v>0</v>
      </c>
      <c r="F60" s="104">
        <f>SUMIFS('Unos prihoda i primitaka'!$I$3:$I$501,'Unos prihoda i primitaka'!$C$3:$C$501,"=31",'Unos prihoda i primitaka'!$L$3:$L$501,"=68")</f>
        <v>0</v>
      </c>
      <c r="G60" s="104">
        <f>SUMIFS('Unos prihoda i primitaka'!$I$3:$I$501,'Unos prihoda i primitaka'!$C$3:$C$501,"=41",'Unos prihoda i primitaka'!$L$3:$L$501,"=68")</f>
        <v>0</v>
      </c>
      <c r="H60" s="104">
        <f>SUMIFS('Unos prihoda i primitaka'!$I$3:$I$501,'Unos prihoda i primitaka'!$C$3:$C$501,"=43",'Unos prihoda i primitaka'!$L$3:$L$501,"=68")</f>
        <v>0</v>
      </c>
      <c r="I60" s="104">
        <f>SUMIFS('Unos prihoda i primitaka'!$I$3:$I$501,'Unos prihoda i primitaka'!$C$3:$C$501,"=51",'Unos prihoda i primitaka'!$L$3:$L$501,"=68")</f>
        <v>0</v>
      </c>
      <c r="J60" s="104">
        <f>SUMIFS('Unos prihoda i primitaka'!$I$3:$I$501,'Unos prihoda i primitaka'!$C$3:$C$501,"=52",'Unos prihoda i primitaka'!$L$3:$L$501,"=68")</f>
        <v>0</v>
      </c>
      <c r="K60" s="104">
        <f>SUMIFS('Unos prihoda i primitaka'!$I$3:$I$501,'Unos prihoda i primitaka'!$C$3:$C$501,"=552",'Unos prihoda i primitaka'!$L$3:$L$501,"=68")</f>
        <v>0</v>
      </c>
      <c r="L60" s="104">
        <f>SUMIFS('Unos prihoda i primitaka'!$I$3:$I$501,'Unos prihoda i primitaka'!$C$3:$C$501,"=559",'Unos prihoda i primitaka'!$L$3:$L$501,"=68")</f>
        <v>0</v>
      </c>
      <c r="M60" s="104">
        <f>SUMIFS('Unos prihoda i primitaka'!$I$3:$I$501,'Unos prihoda i primitaka'!$C$3:$C$501,"=561",'Unos prihoda i primitaka'!$L$3:$L$501,"=68")</f>
        <v>0</v>
      </c>
      <c r="N60" s="104">
        <f>SUMIFS('Unos prihoda i primitaka'!$I$3:$I$501,'Unos prihoda i primitaka'!$C$3:$C$501,"=563",'Unos prihoda i primitaka'!$L$3:$L$501,"=68")</f>
        <v>0</v>
      </c>
      <c r="O60" s="104">
        <f>SUMIFS('Unos prihoda i primitaka'!$I$3:$I$501,'Unos prihoda i primitaka'!$C$3:$C$501,"=573",'Unos prihoda i primitaka'!$L$3:$L$501,"=68")</f>
        <v>0</v>
      </c>
      <c r="P60" s="104">
        <f>SUMIFS('Unos prihoda i primitaka'!$I$3:$I$501,'Unos prihoda i primitaka'!$C$3:$C$501,"=575",'Unos prihoda i primitaka'!$L$3:$L$501,"=68")</f>
        <v>0</v>
      </c>
      <c r="Q60" s="104">
        <f>SUMIFS('Unos prihoda i primitaka'!$I$3:$I$501,'Unos prihoda i primitaka'!$C$3:$C$501,"=576",'Unos prihoda i primitaka'!$L$3:$L$501,"=68")</f>
        <v>0</v>
      </c>
      <c r="R60" s="104">
        <f>SUMIFS('Unos prihoda i primitaka'!$I$3:$I$501,'Unos prihoda i primitaka'!$C$3:$C$501,"=581",'Unos prihoda i primitaka'!$L$3:$L$501,"=68")</f>
        <v>0</v>
      </c>
      <c r="S60" s="104">
        <f>SUMIFS('Unos prihoda i primitaka'!$I$3:$I$501,'Unos prihoda i primitaka'!$C$3:$C$501,"=61",'Unos prihoda i primitaka'!$L$3:$L$501,"=68")</f>
        <v>0</v>
      </c>
      <c r="T60" s="104">
        <f>SUMIFS('Unos prihoda i primitaka'!$I$3:$I$501,'Unos prihoda i primitaka'!$C$3:$C$501,"=63",'Unos prihoda i primitaka'!$L$3:$L$501,"=68")</f>
        <v>0</v>
      </c>
      <c r="U60" s="104">
        <f>SUMIFS('Unos prihoda i primitaka'!$I$3:$I$501,'Unos prihoda i primitaka'!$C$3:$C$501,"=71",'Unos prihoda i primitaka'!$L$3:$L$501,"=68")</f>
        <v>0</v>
      </c>
    </row>
    <row r="61" spans="1:21" s="31" customFormat="1">
      <c r="A61" s="37" t="s">
        <v>3555</v>
      </c>
      <c r="B61" s="38" t="s">
        <v>3556</v>
      </c>
      <c r="C61" s="23">
        <f t="shared" si="8"/>
        <v>2971919</v>
      </c>
      <c r="D61" s="3">
        <f t="shared" ref="D61:U61" si="10">SUM(D48:D60)</f>
        <v>2137353</v>
      </c>
      <c r="E61" s="3">
        <f t="shared" si="10"/>
        <v>0</v>
      </c>
      <c r="F61" s="3">
        <f t="shared" si="10"/>
        <v>132396</v>
      </c>
      <c r="G61" s="3">
        <f t="shared" si="10"/>
        <v>0</v>
      </c>
      <c r="H61" s="3">
        <f t="shared" si="10"/>
        <v>524523</v>
      </c>
      <c r="I61" s="3">
        <f t="shared" si="10"/>
        <v>124568</v>
      </c>
      <c r="J61" s="3">
        <f t="shared" si="10"/>
        <v>45321</v>
      </c>
      <c r="K61" s="3">
        <f t="shared" si="10"/>
        <v>0</v>
      </c>
      <c r="L61" s="3">
        <f t="shared" si="10"/>
        <v>0</v>
      </c>
      <c r="M61" s="3">
        <f t="shared" si="10"/>
        <v>0</v>
      </c>
      <c r="N61" s="3">
        <f t="shared" si="10"/>
        <v>0</v>
      </c>
      <c r="O61" s="3">
        <f t="shared" si="10"/>
        <v>0</v>
      </c>
      <c r="P61" s="3">
        <f t="shared" si="10"/>
        <v>0</v>
      </c>
      <c r="Q61" s="3">
        <f t="shared" si="10"/>
        <v>0</v>
      </c>
      <c r="R61" s="3">
        <f t="shared" si="10"/>
        <v>0</v>
      </c>
      <c r="S61" s="3">
        <f t="shared" si="10"/>
        <v>7758</v>
      </c>
      <c r="T61" s="3">
        <f t="shared" si="10"/>
        <v>0</v>
      </c>
      <c r="U61" s="3">
        <f t="shared" si="10"/>
        <v>0</v>
      </c>
    </row>
    <row r="62" spans="1:21" s="31" customFormat="1">
      <c r="A62" s="34" t="s">
        <v>3557</v>
      </c>
      <c r="B62" s="39" t="s">
        <v>3558</v>
      </c>
      <c r="C62" s="23">
        <f t="shared" si="8"/>
        <v>0</v>
      </c>
      <c r="D62" s="104">
        <f>SUMIFS('Unos prihoda i primitaka'!$I$3:$I$501,'Unos prihoda i primitaka'!$C$3:$C$501,"=11",'Unos prihoda i primitaka'!$L$3:$L$501,"=71")</f>
        <v>0</v>
      </c>
      <c r="E62" s="104">
        <f>SUMIFS('Unos prihoda i primitaka'!$I$3:$I$501,'Unos prihoda i primitaka'!$C$3:$C$501,"=12",'Unos prihoda i primitaka'!$L$3:$L$501,"=71")</f>
        <v>0</v>
      </c>
      <c r="F62" s="104">
        <f>SUMIFS('Unos prihoda i primitaka'!$I$3:$I$501,'Unos prihoda i primitaka'!$C$3:$C$501,"=31",'Unos prihoda i primitaka'!$L$3:$L$501,"=71")</f>
        <v>0</v>
      </c>
      <c r="G62" s="104">
        <f>SUMIFS('Unos prihoda i primitaka'!$I$3:$I$501,'Unos prihoda i primitaka'!$C$3:$C$501,"=41",'Unos prihoda i primitaka'!$L$3:$L$501,"=71")</f>
        <v>0</v>
      </c>
      <c r="H62" s="104">
        <f>SUMIFS('Unos prihoda i primitaka'!$I$3:$I$501,'Unos prihoda i primitaka'!$C$3:$C$501,"=43",'Unos prihoda i primitaka'!$L$3:$L$501,"=71")</f>
        <v>0</v>
      </c>
      <c r="I62" s="104">
        <f>SUMIFS('Unos prihoda i primitaka'!$I$3:$I$501,'Unos prihoda i primitaka'!$C$3:$C$501,"=51",'Unos prihoda i primitaka'!$L$3:$L$501,"=71")</f>
        <v>0</v>
      </c>
      <c r="J62" s="104">
        <f>SUMIFS('Unos prihoda i primitaka'!$I$3:$I$501,'Unos prihoda i primitaka'!$C$3:$C$501,"=52",'Unos prihoda i primitaka'!$L$3:$L$501,"=71")</f>
        <v>0</v>
      </c>
      <c r="K62" s="104">
        <f>SUMIFS('Unos prihoda i primitaka'!$I$3:$I$501,'Unos prihoda i primitaka'!$C$3:$C$501,"=552",'Unos prihoda i primitaka'!$L$3:$L$501,"=71")</f>
        <v>0</v>
      </c>
      <c r="L62" s="104">
        <f>SUMIFS('Unos prihoda i primitaka'!$I$3:$I$501,'Unos prihoda i primitaka'!$C$3:$C$501,"=559",'Unos prihoda i primitaka'!$L$3:$L$501,"=71")</f>
        <v>0</v>
      </c>
      <c r="M62" s="104">
        <f>SUMIFS('Unos prihoda i primitaka'!$I$3:$I$501,'Unos prihoda i primitaka'!$C$3:$C$501,"=561",'Unos prihoda i primitaka'!$L$3:$L$501,"=71")</f>
        <v>0</v>
      </c>
      <c r="N62" s="104">
        <f>SUMIFS('Unos prihoda i primitaka'!$I$3:$I$501,'Unos prihoda i primitaka'!$C$3:$C$501,"=563",'Unos prihoda i primitaka'!$L$3:$L$501,"=71")</f>
        <v>0</v>
      </c>
      <c r="O62" s="104">
        <f>SUMIFS('Unos prihoda i primitaka'!$I$3:$I$501,'Unos prihoda i primitaka'!$C$3:$C$501,"=573",'Unos prihoda i primitaka'!$L$3:$L$501,"=71")</f>
        <v>0</v>
      </c>
      <c r="P62" s="104">
        <f>SUMIFS('Unos prihoda i primitaka'!$I$3:$I$501,'Unos prihoda i primitaka'!$C$3:$C$501,"=575",'Unos prihoda i primitaka'!$L$3:$L$501,"=71")</f>
        <v>0</v>
      </c>
      <c r="Q62" s="104">
        <f>SUMIFS('Unos prihoda i primitaka'!$I$3:$I$501,'Unos prihoda i primitaka'!$C$3:$C$501,"=576",'Unos prihoda i primitaka'!$L$3:$L$501,"=71")</f>
        <v>0</v>
      </c>
      <c r="R62" s="104">
        <f>SUMIFS('Unos prihoda i primitaka'!$I$3:$I$501,'Unos prihoda i primitaka'!$C$3:$C$501,"=581",'Unos prihoda i primitaka'!$L$3:$L$501,"=71")</f>
        <v>0</v>
      </c>
      <c r="S62" s="104">
        <f>SUMIFS('Unos prihoda i primitaka'!$I$3:$I$501,'Unos prihoda i primitaka'!$C$3:$C$501,"=61",'Unos prihoda i primitaka'!$L$3:$L$501,"=71")</f>
        <v>0</v>
      </c>
      <c r="T62" s="104">
        <f>SUMIFS('Unos prihoda i primitaka'!$I$3:$I$501,'Unos prihoda i primitaka'!$C$3:$C$501,"=63",'Unos prihoda i primitaka'!$L$3:$L$501,"=71")</f>
        <v>0</v>
      </c>
      <c r="U62" s="104">
        <f>SUMIFS('Unos prihoda i primitaka'!$I$3:$I$501,'Unos prihoda i primitaka'!$C$3:$C$501,"=71",'Unos prihoda i primitaka'!$L$3:$L$501,"=71")</f>
        <v>0</v>
      </c>
    </row>
    <row r="63" spans="1:21" s="31" customFormat="1">
      <c r="A63" s="34" t="s">
        <v>3559</v>
      </c>
      <c r="B63" s="39" t="s">
        <v>3560</v>
      </c>
      <c r="C63" s="23">
        <f t="shared" si="8"/>
        <v>0</v>
      </c>
      <c r="D63" s="104">
        <f>SUMIFS('Unos prihoda i primitaka'!$I$3:$I$501,'Unos prihoda i primitaka'!$C$3:$C$501,"=11",'Unos prihoda i primitaka'!$L$3:$L$501,"=72")</f>
        <v>0</v>
      </c>
      <c r="E63" s="104">
        <f>SUMIFS('Unos prihoda i primitaka'!$I$3:$I$501,'Unos prihoda i primitaka'!$C$3:$C$501,"=12",'Unos prihoda i primitaka'!$L$3:$L$501,"=72")</f>
        <v>0</v>
      </c>
      <c r="F63" s="104">
        <f>SUMIFS('Unos prihoda i primitaka'!$I$3:$I$501,'Unos prihoda i primitaka'!$C$3:$C$501,"=31",'Unos prihoda i primitaka'!$L$3:$L$501,"=72")</f>
        <v>0</v>
      </c>
      <c r="G63" s="104">
        <f>SUMIFS('Unos prihoda i primitaka'!$I$3:$I$501,'Unos prihoda i primitaka'!$C$3:$C$501,"=41",'Unos prihoda i primitaka'!$L$3:$L$501,"=72")</f>
        <v>0</v>
      </c>
      <c r="H63" s="104">
        <f>SUMIFS('Unos prihoda i primitaka'!$I$3:$I$501,'Unos prihoda i primitaka'!$C$3:$C$501,"=43",'Unos prihoda i primitaka'!$L$3:$L$501,"=72")</f>
        <v>0</v>
      </c>
      <c r="I63" s="104">
        <f>SUMIFS('Unos prihoda i primitaka'!$I$3:$I$501,'Unos prihoda i primitaka'!$C$3:$C$501,"=51",'Unos prihoda i primitaka'!$L$3:$L$501,"=72")</f>
        <v>0</v>
      </c>
      <c r="J63" s="104">
        <f>SUMIFS('Unos prihoda i primitaka'!$I$3:$I$501,'Unos prihoda i primitaka'!$C$3:$C$501,"=52",'Unos prihoda i primitaka'!$L$3:$L$501,"=72")</f>
        <v>0</v>
      </c>
      <c r="K63" s="104">
        <f>SUMIFS('Unos prihoda i primitaka'!$I$3:$I$501,'Unos prihoda i primitaka'!$C$3:$C$501,"=552",'Unos prihoda i primitaka'!$L$3:$L$501,"=72")</f>
        <v>0</v>
      </c>
      <c r="L63" s="104">
        <f>SUMIFS('Unos prihoda i primitaka'!$I$3:$I$501,'Unos prihoda i primitaka'!$C$3:$C$501,"=559",'Unos prihoda i primitaka'!$L$3:$L$501,"=72")</f>
        <v>0</v>
      </c>
      <c r="M63" s="104">
        <f>SUMIFS('Unos prihoda i primitaka'!$I$3:$I$501,'Unos prihoda i primitaka'!$C$3:$C$501,"=561",'Unos prihoda i primitaka'!$L$3:$L$501,"=72")</f>
        <v>0</v>
      </c>
      <c r="N63" s="104">
        <f>SUMIFS('Unos prihoda i primitaka'!$I$3:$I$501,'Unos prihoda i primitaka'!$C$3:$C$501,"=563",'Unos prihoda i primitaka'!$L$3:$L$501,"=72")</f>
        <v>0</v>
      </c>
      <c r="O63" s="104">
        <f>SUMIFS('Unos prihoda i primitaka'!$I$3:$I$501,'Unos prihoda i primitaka'!$C$3:$C$501,"=573",'Unos prihoda i primitaka'!$L$3:$L$501,"=72")</f>
        <v>0</v>
      </c>
      <c r="P63" s="104">
        <f>SUMIFS('Unos prihoda i primitaka'!$I$3:$I$501,'Unos prihoda i primitaka'!$C$3:$C$501,"=575",'Unos prihoda i primitaka'!$L$3:$L$501,"=72")</f>
        <v>0</v>
      </c>
      <c r="Q63" s="104">
        <f>SUMIFS('Unos prihoda i primitaka'!$I$3:$I$501,'Unos prihoda i primitaka'!$C$3:$C$501,"=576",'Unos prihoda i primitaka'!$L$3:$L$501,"=72")</f>
        <v>0</v>
      </c>
      <c r="R63" s="104">
        <f>SUMIFS('Unos prihoda i primitaka'!$I$3:$I$501,'Unos prihoda i primitaka'!$C$3:$C$501,"=581",'Unos prihoda i primitaka'!$L$3:$L$501,"=72")</f>
        <v>0</v>
      </c>
      <c r="S63" s="104">
        <f>SUMIFS('Unos prihoda i primitaka'!$I$3:$I$501,'Unos prihoda i primitaka'!$C$3:$C$501,"=61",'Unos prihoda i primitaka'!$L$3:$L$501,"=72")</f>
        <v>0</v>
      </c>
      <c r="T63" s="104">
        <f>SUMIFS('Unos prihoda i primitaka'!$I$3:$I$501,'Unos prihoda i primitaka'!$C$3:$C$501,"=63",'Unos prihoda i primitaka'!$L$3:$L$501,"=72")</f>
        <v>0</v>
      </c>
      <c r="U63" s="104">
        <f>SUMIFS('Unos prihoda i primitaka'!$I$3:$I$501,'Unos prihoda i primitaka'!$C$3:$C$501,"=71",'Unos prihoda i primitaka'!$L$3:$L$501,"=72")</f>
        <v>0</v>
      </c>
    </row>
    <row r="64" spans="1:21" s="31" customFormat="1">
      <c r="A64" s="37" t="s">
        <v>3561</v>
      </c>
      <c r="B64" s="38" t="s">
        <v>3556</v>
      </c>
      <c r="C64" s="23">
        <f t="shared" si="8"/>
        <v>0</v>
      </c>
      <c r="D64" s="3">
        <f t="shared" ref="D64:U64" si="11">SUM(D62:D63)</f>
        <v>0</v>
      </c>
      <c r="E64" s="3">
        <f t="shared" si="11"/>
        <v>0</v>
      </c>
      <c r="F64" s="3">
        <f t="shared" si="11"/>
        <v>0</v>
      </c>
      <c r="G64" s="3">
        <f t="shared" si="11"/>
        <v>0</v>
      </c>
      <c r="H64" s="3">
        <f t="shared" si="11"/>
        <v>0</v>
      </c>
      <c r="I64" s="3">
        <f t="shared" si="11"/>
        <v>0</v>
      </c>
      <c r="J64" s="3">
        <f t="shared" si="11"/>
        <v>0</v>
      </c>
      <c r="K64" s="3">
        <f t="shared" si="11"/>
        <v>0</v>
      </c>
      <c r="L64" s="3">
        <f t="shared" si="11"/>
        <v>0</v>
      </c>
      <c r="M64" s="3">
        <f t="shared" si="11"/>
        <v>0</v>
      </c>
      <c r="N64" s="3">
        <f t="shared" si="11"/>
        <v>0</v>
      </c>
      <c r="O64" s="3">
        <f t="shared" si="11"/>
        <v>0</v>
      </c>
      <c r="P64" s="3">
        <f t="shared" si="11"/>
        <v>0</v>
      </c>
      <c r="Q64" s="3">
        <f t="shared" si="11"/>
        <v>0</v>
      </c>
      <c r="R64" s="3">
        <f t="shared" si="11"/>
        <v>0</v>
      </c>
      <c r="S64" s="3">
        <f t="shared" si="11"/>
        <v>0</v>
      </c>
      <c r="T64" s="3">
        <f t="shared" si="11"/>
        <v>0</v>
      </c>
      <c r="U64" s="3">
        <f t="shared" si="11"/>
        <v>0</v>
      </c>
    </row>
  </sheetData>
  <sheetProtection selectLockedCells="1"/>
  <mergeCells count="5">
    <mergeCell ref="A1:U1"/>
    <mergeCell ref="A2:U2"/>
    <mergeCell ref="A3:U3"/>
    <mergeCell ref="A4:U4"/>
    <mergeCell ref="A5:U5"/>
  </mergeCells>
  <phoneticPr fontId="33" type="noConversion"/>
  <pageMargins left="0" right="0" top="0.35433070866141736" bottom="0.15748031496062992" header="0.31496062992125984" footer="0.31496062992125984"/>
  <pageSetup paperSize="9" scale="43" fitToHeight="0" orientation="landscape" r:id="rId1"/>
  <rowBreaks count="2" manualBreakCount="2">
    <brk id="30" max="16383" man="1"/>
    <brk id="4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B75"/>
  <sheetViews>
    <sheetView showGridLines="0" zoomScale="80" zoomScaleNormal="80" zoomScaleSheetLayoutView="80" workbookViewId="0">
      <pane xSplit="1" ySplit="1" topLeftCell="B39" activePane="bottomRight" state="frozen"/>
      <selection pane="bottomRight" activeCell="I59" sqref="I59"/>
      <selection pane="bottomLeft" activeCell="A2" sqref="A2"/>
      <selection pane="topRight" activeCell="B1" sqref="B1"/>
    </sheetView>
  </sheetViews>
  <sheetFormatPr defaultColWidth="11.42578125" defaultRowHeight="12.75"/>
  <cols>
    <col min="1" max="1" width="10" style="15" customWidth="1"/>
    <col min="2" max="2" width="40" style="16" customWidth="1"/>
    <col min="3" max="3" width="13.85546875" style="1" customWidth="1"/>
    <col min="4" max="14" width="13.140625" style="17" customWidth="1"/>
    <col min="15" max="15" width="14.42578125" style="17" customWidth="1"/>
    <col min="16" max="20" width="13.140625" style="17" customWidth="1"/>
    <col min="21" max="21" width="14.7109375" style="17" customWidth="1"/>
    <col min="22" max="22" width="13.140625" style="17" customWidth="1"/>
    <col min="23" max="38" width="11.42578125" style="24" customWidth="1"/>
    <col min="39" max="192" width="11.42578125" style="24"/>
    <col min="193" max="16384" width="11.42578125" style="25"/>
  </cols>
  <sheetData>
    <row r="1" spans="1:262" ht="24" customHeight="1">
      <c r="A1" s="271" t="s">
        <v>3562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62" ht="14.2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159"/>
      <c r="V2" s="159" t="s">
        <v>58</v>
      </c>
    </row>
    <row r="3" spans="1:262" s="26" customFormat="1" ht="63.75">
      <c r="A3" s="2" t="s">
        <v>3563</v>
      </c>
      <c r="B3" s="2" t="s">
        <v>3564</v>
      </c>
      <c r="C3" s="2" t="s">
        <v>3565</v>
      </c>
      <c r="D3" s="2" t="s">
        <v>3566</v>
      </c>
      <c r="E3" s="2" t="s">
        <v>3524</v>
      </c>
      <c r="F3" s="2" t="s">
        <v>3525</v>
      </c>
      <c r="G3" s="2" t="s">
        <v>3567</v>
      </c>
      <c r="H3" s="2" t="s">
        <v>3527</v>
      </c>
      <c r="I3" s="2" t="s">
        <v>3528</v>
      </c>
      <c r="J3" s="2" t="s">
        <v>3529</v>
      </c>
      <c r="K3" s="2" t="s">
        <v>3530</v>
      </c>
      <c r="L3" s="2" t="s">
        <v>3531</v>
      </c>
      <c r="M3" s="2" t="s">
        <v>3532</v>
      </c>
      <c r="N3" s="2" t="s">
        <v>3533</v>
      </c>
      <c r="O3" s="2" t="s">
        <v>3534</v>
      </c>
      <c r="P3" s="2" t="s">
        <v>3568</v>
      </c>
      <c r="Q3" s="2" t="s">
        <v>3569</v>
      </c>
      <c r="R3" s="2" t="s">
        <v>3537</v>
      </c>
      <c r="S3" s="2" t="s">
        <v>3538</v>
      </c>
      <c r="T3" s="2" t="s">
        <v>3539</v>
      </c>
      <c r="U3" s="2" t="s">
        <v>3570</v>
      </c>
      <c r="V3" s="2" t="s">
        <v>3571</v>
      </c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</row>
    <row r="4" spans="1:262" s="14" customFormat="1" ht="19.5" customHeight="1">
      <c r="A4" s="258">
        <v>2022</v>
      </c>
      <c r="B4" s="258" t="s">
        <v>62</v>
      </c>
      <c r="C4" s="47">
        <f>SUM(D4:V4)</f>
        <v>2743703</v>
      </c>
      <c r="D4" s="48">
        <f>D5+D32</f>
        <v>1733534</v>
      </c>
      <c r="E4" s="48">
        <f t="shared" ref="E4:V4" si="0">E5+E32</f>
        <v>4914</v>
      </c>
      <c r="F4" s="48">
        <f t="shared" si="0"/>
        <v>45378</v>
      </c>
      <c r="G4" s="48">
        <f t="shared" si="0"/>
        <v>0</v>
      </c>
      <c r="H4" s="48">
        <f t="shared" si="0"/>
        <v>871311</v>
      </c>
      <c r="I4" s="48">
        <f t="shared" si="0"/>
        <v>45373</v>
      </c>
      <c r="J4" s="48">
        <f>J5+J32</f>
        <v>31289</v>
      </c>
      <c r="K4" s="48">
        <f t="shared" si="0"/>
        <v>0</v>
      </c>
      <c r="L4" s="48">
        <f t="shared" si="0"/>
        <v>0</v>
      </c>
      <c r="M4" s="48">
        <f t="shared" si="0"/>
        <v>10213</v>
      </c>
      <c r="N4" s="48">
        <f t="shared" si="0"/>
        <v>0</v>
      </c>
      <c r="O4" s="48">
        <f t="shared" si="0"/>
        <v>0</v>
      </c>
      <c r="P4" s="48">
        <f t="shared" si="0"/>
        <v>0</v>
      </c>
      <c r="Q4" s="48">
        <f t="shared" si="0"/>
        <v>0</v>
      </c>
      <c r="R4" s="48">
        <f t="shared" si="0"/>
        <v>0</v>
      </c>
      <c r="S4" s="48">
        <f t="shared" si="0"/>
        <v>1593</v>
      </c>
      <c r="T4" s="48">
        <f t="shared" si="0"/>
        <v>0</v>
      </c>
      <c r="U4" s="48">
        <f t="shared" si="0"/>
        <v>98</v>
      </c>
      <c r="V4" s="48">
        <f t="shared" si="0"/>
        <v>0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7"/>
      <c r="AN4" s="27"/>
      <c r="AO4" s="27"/>
      <c r="AP4" s="27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</row>
    <row r="5" spans="1:262" s="6" customFormat="1" ht="12.6" customHeight="1">
      <c r="A5" s="49">
        <v>3</v>
      </c>
      <c r="B5" s="50" t="s">
        <v>3572</v>
      </c>
      <c r="C5" s="51">
        <f>SUM(D5:V5)</f>
        <v>2680487</v>
      </c>
      <c r="D5" s="55">
        <f>+D6+D12+D17+D21+D25+D30+D31</f>
        <v>1726307</v>
      </c>
      <c r="E5" s="55">
        <f t="shared" ref="E5:V5" si="1">+E6+E12+E17+E21+E25+E30+E31</f>
        <v>4914</v>
      </c>
      <c r="F5" s="55">
        <f t="shared" si="1"/>
        <v>36706</v>
      </c>
      <c r="G5" s="55">
        <f t="shared" si="1"/>
        <v>0</v>
      </c>
      <c r="H5" s="55">
        <f t="shared" si="1"/>
        <v>826098</v>
      </c>
      <c r="I5" s="55">
        <f t="shared" si="1"/>
        <v>43367</v>
      </c>
      <c r="J5" s="55">
        <f t="shared" si="1"/>
        <v>31289</v>
      </c>
      <c r="K5" s="55">
        <f t="shared" si="1"/>
        <v>0</v>
      </c>
      <c r="L5" s="55">
        <f t="shared" si="1"/>
        <v>0</v>
      </c>
      <c r="M5" s="55">
        <f t="shared" si="1"/>
        <v>10213</v>
      </c>
      <c r="N5" s="55">
        <f t="shared" si="1"/>
        <v>0</v>
      </c>
      <c r="O5" s="55">
        <f t="shared" si="1"/>
        <v>0</v>
      </c>
      <c r="P5" s="55">
        <f t="shared" si="1"/>
        <v>0</v>
      </c>
      <c r="Q5" s="55">
        <f t="shared" si="1"/>
        <v>0</v>
      </c>
      <c r="R5" s="55">
        <f t="shared" si="1"/>
        <v>0</v>
      </c>
      <c r="S5" s="55">
        <f t="shared" si="1"/>
        <v>1593</v>
      </c>
      <c r="T5" s="55">
        <f t="shared" si="1"/>
        <v>0</v>
      </c>
      <c r="U5" s="55">
        <f t="shared" si="1"/>
        <v>0</v>
      </c>
      <c r="V5" s="55">
        <f t="shared" si="1"/>
        <v>0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</row>
    <row r="6" spans="1:262" s="8" customFormat="1" ht="12.6" customHeight="1">
      <c r="A6" s="254">
        <v>31</v>
      </c>
      <c r="B6" s="7" t="s">
        <v>3573</v>
      </c>
      <c r="C6" s="57">
        <f>SUM(D6:V6)</f>
        <v>1890615</v>
      </c>
      <c r="D6" s="61">
        <f>SUMIFS('Unos rashoda i izdataka'!$J$3:$J$498,'Unos rashoda i izdataka'!$C$3:$C$498,"=11",'Unos rashoda i izdataka'!$P$3:$P$498,"=31")+SUMIFS('Unos rashoda P4'!$H$3:$H$496,'Unos rashoda P4'!$A$3:$A$496,"=11",'Unos rashoda P4'!$S$3:$S$496,"=31")</f>
        <v>1603031</v>
      </c>
      <c r="E6" s="61">
        <f>SUMIFS('Unos rashoda i izdataka'!$J$3:$J$498,'Unos rashoda i izdataka'!$C$3:$C$498,"=12",'Unos rashoda i izdataka'!$P$3:$P$498,"=31")+SUMIFS('Unos rashoda P4'!$H$3:$H$496,'Unos rashoda P4'!$A$3:$A$496,"=12",'Unos rashoda P4'!$S$3:$S$496,"=31")</f>
        <v>0</v>
      </c>
      <c r="F6" s="61">
        <f>SUMIFS('Unos rashoda i izdataka'!$J$3:$J$498,'Unos rashoda i izdataka'!$C$3:$C$498,"=31",'Unos rashoda i izdataka'!$P$3:$P$498,"=31")+SUMIFS('Unos rashoda P4'!$H$3:$H$496,'Unos rashoda P4'!$A$3:$A$496,"=31",'Unos rashoda P4'!$S$3:$S$496,"=31")</f>
        <v>8934</v>
      </c>
      <c r="G6" s="61">
        <f>SUMIFS('Unos rashoda i izdataka'!$J$3:$J$498,'Unos rashoda i izdataka'!$C$3:$C$498,"=41",'Unos rashoda i izdataka'!$P$3:$P$498,"=31")+SUMIFS('Unos rashoda P4'!$H$3:$H$496,'Unos rashoda P4'!$A$3:$A$496,"=41",'Unos rashoda P4'!$S$3:$S$496,"=31")</f>
        <v>0</v>
      </c>
      <c r="H6" s="61">
        <f>SUMIFS('Unos rashoda i izdataka'!$J$3:$J$498,'Unos rashoda i izdataka'!$C$3:$C$498,"=43",'Unos rashoda i izdataka'!$P$3:$P$498,"=31")+SUMIFS('Unos rashoda P4'!$H$3:$H$496,'Unos rashoda P4'!$A$3:$A$496,"=43",'Unos rashoda P4'!$S$3:$S$496,"=31")</f>
        <v>223367</v>
      </c>
      <c r="I6" s="61">
        <f>SUMIFS('Unos rashoda i izdataka'!$J$3:$J$498,'Unos rashoda i izdataka'!$C$3:$C$498,"=51",'Unos rashoda i izdataka'!$P$3:$P$498,"=31")+SUMIFS('Unos rashoda P4'!$H$3:$H$496,'Unos rashoda P4'!$A$3:$A$496,"=51",'Unos rashoda P4'!$S$3:$S$496,"=31")</f>
        <v>15816</v>
      </c>
      <c r="J6" s="61">
        <f>SUMIFS('Unos rashoda i izdataka'!$J$3:$J$498,'Unos rashoda i izdataka'!$C$3:$C$498,"=52",'Unos rashoda i izdataka'!$P$3:$P$498,"=31")+SUMIFS('Unos rashoda P4'!$H$3:$H$496,'Unos rashoda P4'!$A$3:$A$496,"=52",'Unos rashoda P4'!$S$3:$S$496,"=31")</f>
        <v>29417</v>
      </c>
      <c r="K6" s="61">
        <f>SUMIFS('Unos rashoda i izdataka'!$J$3:$J$498,'Unos rashoda i izdataka'!$C$3:$C$498,"=552",'Unos rashoda i izdataka'!$P$3:$P$498,"=31")+SUMIFS('Unos rashoda P4'!$H$3:$H$496,'Unos rashoda P4'!$A$3:$A$496,"=552",'Unos rashoda P4'!$S$3:$S$496,"=31")</f>
        <v>0</v>
      </c>
      <c r="L6" s="61">
        <f>SUMIFS('Unos rashoda i izdataka'!$J$3:$J$498,'Unos rashoda i izdataka'!$C$3:$C$498,"=559",'Unos rashoda i izdataka'!$P$3:$P$498,"=31")+SUMIFS('Unos rashoda P4'!$H$3:$H$496,'Unos rashoda P4'!$A$3:$A$496,"=559",'Unos rashoda P4'!$S$3:$S$496,"=31")</f>
        <v>0</v>
      </c>
      <c r="M6" s="61">
        <f>SUMIFS('Unos rashoda i izdataka'!$J$3:$J$498,'Unos rashoda i izdataka'!$C$3:$C$498,"=561",'Unos rashoda i izdataka'!$P$3:$P$498,"=31")+SUMIFS('Unos rashoda P4'!$H$3:$H$496,'Unos rashoda P4'!$A$3:$A$496,"=561",'Unos rashoda P4'!$S$3:$S$496,"=31")</f>
        <v>10050</v>
      </c>
      <c r="N6" s="61">
        <f>SUMIFS('Unos rashoda i izdataka'!$J$3:$J$498,'Unos rashoda i izdataka'!$C$3:$C$498,"=563",'Unos rashoda i izdataka'!$P$3:$P$498,"=31")+SUMIFS('Unos rashoda P4'!$H$3:$H$496,'Unos rashoda P4'!$A$3:$A$496,"=563",'Unos rashoda P4'!$S$3:$S$496,"=31")</f>
        <v>0</v>
      </c>
      <c r="O6" s="61">
        <f>SUMIFS('Unos rashoda i izdataka'!$J$3:$J$498,'Unos rashoda i izdataka'!$C$3:$C$498,"=573",'Unos rashoda i izdataka'!$P$3:$P$498,"=31")+SUMIFS('Unos rashoda P4'!$H$3:$H$496,'Unos rashoda P4'!$A$3:$A$496,"=573",'Unos rashoda P4'!$S$3:$S$496,"=31")</f>
        <v>0</v>
      </c>
      <c r="P6" s="61">
        <f>SUMIFS('Unos rashoda i izdataka'!$J$3:$J$498,'Unos rashoda i izdataka'!$C$3:$C$498,"=575",'Unos rashoda i izdataka'!$P$3:$P$498,"=31")+SUMIFS('Unos rashoda P4'!$H$3:$H$496,'Unos rashoda P4'!$A$3:$A$496,"=575",'Unos rashoda P4'!$S$3:$S$496,"=31")</f>
        <v>0</v>
      </c>
      <c r="Q6" s="61">
        <f>SUMIFS('Unos rashoda i izdataka'!$J$3:$J$498,'Unos rashoda i izdataka'!$Q$3:$Q$498,"=576",'Unos rashoda i izdataka'!$P$3:$P$498,"=31")+SUMIFS('Unos rashoda P4'!$H$3:$H$496,'Unos rashoda P4'!$A$3:$A$496,"=576",'Unos rashoda P4'!$S$3:$S$496,"=31")</f>
        <v>0</v>
      </c>
      <c r="R6" s="61">
        <f>SUMIFS('Unos rashoda i izdataka'!$J$3:$J$498,'Unos rashoda i izdataka'!$C$3:$C$498,"=581",'Unos rashoda i izdataka'!$P$3:$P$498,"=31")+SUMIFS('Unos rashoda P4'!$H$3:$H$496,'Unos rashoda P4'!$A$3:$A$496,"=581",'Unos rashoda P4'!$S$3:$S$496,"=31")</f>
        <v>0</v>
      </c>
      <c r="S6" s="61">
        <f>SUMIFS('Unos rashoda i izdataka'!$J$3:$J$498,'Unos rashoda i izdataka'!$C$3:$C$498,"=61",'Unos rashoda i izdataka'!$P$3:$P$498,"=31")+SUMIFS('Unos rashoda P4'!$H$3:$H$496,'Unos rashoda P4'!$A$3:$A$496,"=61",'Unos rashoda P4'!$S$3:$S$496,"=31")</f>
        <v>0</v>
      </c>
      <c r="T6" s="61">
        <f>SUMIFS('Unos rashoda i izdataka'!$J$3:$J$498,'Unos rashoda i izdataka'!$C$3:$C$498,"=63",'Unos rashoda i izdataka'!$P$3:$P$498,"=31")+SUMIFS('Unos rashoda P4'!$H$3:$H$496,'Unos rashoda P4'!$A$3:$A$496,"=63",'Unos rashoda P4'!$S$3:$S$496,"=31")</f>
        <v>0</v>
      </c>
      <c r="U6" s="61">
        <f>SUMIFS('Unos rashoda i izdataka'!$J$3:$J$498,'Unos rashoda i izdataka'!$C$3:$C$498,"=71",'Unos rashoda i izdataka'!$P$3:$P$498,"=31")+SUMIFS('Unos rashoda P4'!$H$3:$H$496,'Unos rashoda P4'!$A$3:$A$496,"=71",'Unos rashoda P4'!$S$3:$S$496,"=31")</f>
        <v>0</v>
      </c>
      <c r="V6" s="61">
        <f>SUMIFS('Unos rashoda i izdataka'!$J$3:$J$498,'Unos rashoda i izdataka'!$C$3:$C$498,"=81",'Unos rashoda i izdataka'!$P$3:$P$498,"=31")+SUMIFS('Unos rashoda P4'!$H$3:$H$496,'Unos rashoda P4'!$A$3:$A$496,"=81",'Unos rashoda P4'!$S$3:$S$496,"=31")</f>
        <v>0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</row>
    <row r="7" spans="1:262" s="8" customFormat="1" ht="12.6" customHeight="1">
      <c r="A7" s="254">
        <v>311</v>
      </c>
      <c r="B7" s="7" t="s">
        <v>3574</v>
      </c>
      <c r="C7" s="57">
        <f t="shared" ref="C7:C15" si="2">SUM(D7:V7)</f>
        <v>23</v>
      </c>
      <c r="D7" s="61">
        <v>23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</row>
    <row r="8" spans="1:262" s="8" customFormat="1" ht="12.6" customHeight="1">
      <c r="A8" s="254">
        <v>3111</v>
      </c>
      <c r="B8" s="7" t="s">
        <v>635</v>
      </c>
      <c r="C8" s="57">
        <f t="shared" si="2"/>
        <v>55</v>
      </c>
      <c r="D8" s="61">
        <v>55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</row>
    <row r="9" spans="1:262" s="8" customFormat="1" ht="12.6" customHeight="1">
      <c r="A9" s="254">
        <v>313</v>
      </c>
      <c r="B9" s="7" t="s">
        <v>3575</v>
      </c>
      <c r="C9" s="57">
        <f t="shared" si="2"/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</row>
    <row r="10" spans="1:262" s="8" customFormat="1" ht="12.6" customHeight="1">
      <c r="A10" s="254">
        <v>3132</v>
      </c>
      <c r="B10" s="7" t="s">
        <v>660</v>
      </c>
      <c r="C10" s="57">
        <f t="shared" si="2"/>
        <v>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</row>
    <row r="11" spans="1:262" s="8" customFormat="1" ht="12.6" customHeight="1">
      <c r="A11" s="254"/>
      <c r="B11" s="7"/>
      <c r="C11" s="57">
        <f t="shared" si="2"/>
        <v>0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</row>
    <row r="12" spans="1:262" s="28" customFormat="1" ht="12.6" customHeight="1">
      <c r="A12" s="255">
        <v>32</v>
      </c>
      <c r="B12" s="9" t="s">
        <v>3576</v>
      </c>
      <c r="C12" s="58">
        <f t="shared" ref="C12:C37" si="3">SUM(D12:V12)</f>
        <v>783005</v>
      </c>
      <c r="D12" s="61">
        <f>SUMIFS('Unos rashoda i izdataka'!$J$3:$J$498,'Unos rashoda i izdataka'!$C$3:$C$498,"=11",'Unos rashoda i izdataka'!$P$3:$P$498,"=32")+SUMIFS('Unos rashoda P4'!$H$3:$H$496,'Unos rashoda P4'!$A$3:$A$496,"=11",'Unos rashoda P4'!$S$3:$S$496,"=32")</f>
        <v>123165</v>
      </c>
      <c r="E12" s="61">
        <f>SUMIFS('Unos rashoda i izdataka'!$J$3:$J$498,'Unos rashoda i izdataka'!$C$3:$C$498,"=12",'Unos rashoda i izdataka'!$P$3:$P$498,"=32")+SUMIFS('Unos rashoda P4'!$H$3:$H$496,'Unos rashoda P4'!$A$3:$A$496,"=12",'Unos rashoda P4'!$S$3:$S$496,"=32")</f>
        <v>1513</v>
      </c>
      <c r="F12" s="61">
        <f>SUMIFS('Unos rashoda i izdataka'!$J$3:$J$498,'Unos rashoda i izdataka'!$C$3:$C$498,"=31",'Unos rashoda i izdataka'!$P$3:$P$498,"=32")+SUMIFS('Unos rashoda P4'!$H$3:$H$496,'Unos rashoda P4'!$A$3:$A$496,"=31",'Unos rashoda P4'!$S$3:$S$496,"=32")</f>
        <v>27712</v>
      </c>
      <c r="G12" s="61">
        <f>SUMIFS('Unos rashoda i izdataka'!$J$3:$J$498,'Unos rashoda i izdataka'!$C$3:$C$498,"=41",'Unos rashoda i izdataka'!$P$3:$P$498,"=32")+SUMIFS('Unos rashoda P4'!$H$3:$H$496,'Unos rashoda P4'!$A$3:$A$496,"=41",'Unos rashoda P4'!$S$3:$S$496,"=32")</f>
        <v>0</v>
      </c>
      <c r="H12" s="61">
        <f>SUMIFS('Unos rashoda i izdataka'!$J$3:$J$498,'Unos rashoda i izdataka'!$C$3:$C$498,"=43",'Unos rashoda i izdataka'!$P$3:$P$498,"=32")+SUMIFS('Unos rashoda P4'!$H$3:$H$496,'Unos rashoda P4'!$A$3:$A$496,"=43",'Unos rashoda P4'!$S$3:$S$496,"=32")</f>
        <v>599535</v>
      </c>
      <c r="I12" s="61">
        <f>SUMIFS('Unos rashoda i izdataka'!$J$3:$J$498,'Unos rashoda i izdataka'!$C$3:$C$498,"=51",'Unos rashoda i izdataka'!$P$3:$P$498,"=32")+SUMIFS('Unos rashoda P4'!$H$3:$H$496,'Unos rashoda P4'!$A$3:$A$496,"=51",'Unos rashoda P4'!$S$3:$S$496,"=32")</f>
        <v>27452</v>
      </c>
      <c r="J12" s="61">
        <f>SUMIFS('Unos rashoda i izdataka'!$J$3:$J$498,'Unos rashoda i izdataka'!$C$3:$C$498,"=52",'Unos rashoda i izdataka'!$P$3:$P$498,"=32")+SUMIFS('Unos rashoda P4'!$H$3:$H$496,'Unos rashoda P4'!$A$3:$A$496,"=52",'Unos rashoda P4'!$S$3:$S$496,"=32")</f>
        <v>1872</v>
      </c>
      <c r="K12" s="61">
        <f>SUMIFS('Unos rashoda i izdataka'!$J$3:$J$498,'Unos rashoda i izdataka'!$C$3:$C$498,"=552",'Unos rashoda i izdataka'!$P$3:$P$498,"=32")+SUMIFS('Unos rashoda P4'!$H$3:$H$496,'Unos rashoda P4'!$A$3:$A$496,"=552",'Unos rashoda P4'!$S$3:$S$496,"=32")</f>
        <v>0</v>
      </c>
      <c r="L12" s="61">
        <f>SUMIFS('Unos rashoda i izdataka'!$J$3:$J$498,'Unos rashoda i izdataka'!$C$3:$C$498,"=559",'Unos rashoda i izdataka'!$P$3:$P$498,"=32")+SUMIFS('Unos rashoda P4'!$H$3:$H$496,'Unos rashoda P4'!$A$3:$A$496,"=559",'Unos rashoda P4'!$S$3:$S$496,"=32")</f>
        <v>0</v>
      </c>
      <c r="M12" s="61">
        <f>SUMIFS('Unos rashoda i izdataka'!$J$3:$J$498,'Unos rashoda i izdataka'!$C$3:$C$498,"=561",'Unos rashoda i izdataka'!$P$3:$P$498,"=32")+SUMIFS('Unos rashoda P4'!$H$3:$H$496,'Unos rashoda P4'!$A$3:$A$496,"=561",'Unos rashoda P4'!$S$3:$S$496,"=32")</f>
        <v>163</v>
      </c>
      <c r="N12" s="61">
        <f>SUMIFS('Unos rashoda i izdataka'!$J$3:$J$498,'Unos rashoda i izdataka'!$C$3:$C$498,"=563",'Unos rashoda i izdataka'!$P$3:$P$498,"=32")+SUMIFS('Unos rashoda P4'!$H$3:$H$496,'Unos rashoda P4'!$A$3:$A$496,"=563",'Unos rashoda P4'!$S$3:$S$496,"=32")</f>
        <v>0</v>
      </c>
      <c r="O12" s="61">
        <f>SUMIFS('Unos rashoda i izdataka'!$J$3:$J$498,'Unos rashoda i izdataka'!$C$3:$C$498,"=573",'Unos rashoda i izdataka'!$P$3:$P$498,"=32")+SUMIFS('Unos rashoda P4'!$H$3:$H$496,'Unos rashoda P4'!$A$3:$A$496,"=573",'Unos rashoda P4'!$S$3:$S$496,"=32")</f>
        <v>0</v>
      </c>
      <c r="P12" s="61">
        <f>SUMIFS('Unos rashoda i izdataka'!$J$3:$J$498,'Unos rashoda i izdataka'!$C$3:$C$498,"=575",'Unos rashoda i izdataka'!$P$3:$P$498,"=32")+SUMIFS('Unos rashoda P4'!$H$3:$H$496,'Unos rashoda P4'!$A$3:$A$496,"=575",'Unos rashoda P4'!$S$3:$S$496,"=32")</f>
        <v>0</v>
      </c>
      <c r="Q12" s="61">
        <f>SUMIFS('Unos rashoda i izdataka'!$J$3:$J$498,'Unos rashoda i izdataka'!$Q$3:$Q$498,"=576",'Unos rashoda i izdataka'!$P$3:$P$498,"=32")+SUMIFS('Unos rashoda P4'!$H$3:$H$496,'Unos rashoda P4'!$A$3:$A$496,"=576",'Unos rashoda P4'!$S$3:$S$496,"=32")</f>
        <v>0</v>
      </c>
      <c r="R12" s="61">
        <f>SUMIFS('Unos rashoda i izdataka'!$J$3:$J$498,'Unos rashoda i izdataka'!$C$3:$C$498,"=581",'Unos rashoda i izdataka'!$P$3:$P$498,"=32")+SUMIFS('Unos rashoda P4'!$H$3:$H$496,'Unos rashoda P4'!$A$3:$A$496,"=581",'Unos rashoda P4'!$S$3:$S$496,"=32")</f>
        <v>0</v>
      </c>
      <c r="S12" s="61">
        <f>SUMIFS('Unos rashoda i izdataka'!$J$3:$J$498,'Unos rashoda i izdataka'!$C$3:$C$498,"=61",'Unos rashoda i izdataka'!$P$3:$P$498,"=32")+SUMIFS('Unos rashoda P4'!$H$3:$H$496,'Unos rashoda P4'!$A$3:$A$496,"=61",'Unos rashoda P4'!$S$3:$S$496,"=32")</f>
        <v>1593</v>
      </c>
      <c r="T12" s="61">
        <f>SUMIFS('Unos rashoda i izdataka'!$J$3:$J$498,'Unos rashoda i izdataka'!$C$3:$C$498,"=63",'Unos rashoda i izdataka'!$P$3:$P$498,"=32")+SUMIFS('Unos rashoda P4'!$H$3:$H$496,'Unos rashoda P4'!$A$3:$A$496,"=63",'Unos rashoda P4'!$S$3:$S$496,"=32")</f>
        <v>0</v>
      </c>
      <c r="U12" s="61">
        <f>SUMIFS('Unos rashoda i izdataka'!$J$3:$J$498,'Unos rashoda i izdataka'!$C$3:$C$498,"=71",'Unos rashoda i izdataka'!$P$3:$P$498,"=32")+SUMIFS('Unos rashoda P4'!$H$3:$H$496,'Unos rashoda P4'!$A$3:$A$496,"=71",'Unos rashoda P4'!$S$3:$S$496,"=32")</f>
        <v>0</v>
      </c>
      <c r="V12" s="61">
        <f>SUMIFS('Unos rashoda i izdataka'!$J$3:$J$498,'Unos rashoda i izdataka'!$C$3:$C$498,"=81",'Unos rashoda i izdataka'!$P$3:$P$498,"=32")+SUMIFS('Unos rashoda P4'!$H$3:$H$496,'Unos rashoda P4'!$A$3:$A$496,"=81",'Unos rashoda P4'!$S$3:$S$496,"=32")</f>
        <v>0</v>
      </c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</row>
    <row r="13" spans="1:262" s="28" customFormat="1" ht="12.6" customHeight="1">
      <c r="A13" s="255">
        <v>321</v>
      </c>
      <c r="B13" s="9" t="s">
        <v>3577</v>
      </c>
      <c r="C13" s="57">
        <f t="shared" si="2"/>
        <v>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</row>
    <row r="14" spans="1:262" s="28" customFormat="1" ht="12.6" customHeight="1">
      <c r="A14" s="255">
        <v>3211</v>
      </c>
      <c r="B14" s="9" t="s">
        <v>663</v>
      </c>
      <c r="C14" s="57">
        <f t="shared" si="2"/>
        <v>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</row>
    <row r="15" spans="1:262" s="28" customFormat="1" ht="12.6" customHeight="1">
      <c r="A15" s="255"/>
      <c r="B15" s="9"/>
      <c r="C15" s="57">
        <f t="shared" si="2"/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</row>
    <row r="17" spans="1:22" s="10" customFormat="1" ht="12.6" customHeight="1">
      <c r="A17" s="255">
        <v>34</v>
      </c>
      <c r="B17" s="9" t="s">
        <v>3578</v>
      </c>
      <c r="C17" s="58">
        <f t="shared" si="3"/>
        <v>1470</v>
      </c>
      <c r="D17" s="61">
        <f>SUMIFS('Unos rashoda i izdataka'!$J$3:$J$498,'Unos rashoda i izdataka'!$C$3:$C$498,"=11",'Unos rashoda i izdataka'!$P$3:$P$498,"=34")+SUMIFS('Unos rashoda P4'!$H$3:$H$496,'Unos rashoda P4'!$A$3:$A$496,"=11",'Unos rashoda P4'!$S$3:$S$496,"=34")</f>
        <v>111</v>
      </c>
      <c r="E17" s="61">
        <f>SUMIFS('Unos rashoda i izdataka'!$J$3:$J$498,'Unos rashoda i izdataka'!$C$3:$C$498,"=12",'Unos rashoda i izdataka'!$P$3:$P$498,"=34")+SUMIFS('Unos rashoda P4'!$H$3:$H$496,'Unos rashoda P4'!$A$3:$A$496,"=12",'Unos rashoda P4'!$S$3:$S$496,"=34")</f>
        <v>0</v>
      </c>
      <c r="F17" s="61">
        <f>SUMIFS('Unos rashoda i izdataka'!$J$3:$J$498,'Unos rashoda i izdataka'!$C$3:$C$498,"=31",'Unos rashoda i izdataka'!$P$3:$P$498,"=34")+SUMIFS('Unos rashoda P4'!$H$3:$H$496,'Unos rashoda P4'!$A$3:$A$496,"=31",'Unos rashoda P4'!$S$3:$S$496,"=34")</f>
        <v>60</v>
      </c>
      <c r="G17" s="61">
        <f>SUMIFS('Unos rashoda i izdataka'!$J$3:$J$498,'Unos rashoda i izdataka'!$C$3:$C$498,"=41",'Unos rashoda i izdataka'!$P$3:$P$498,"=34")+SUMIFS('Unos rashoda P4'!$H$3:$H$496,'Unos rashoda P4'!$A$3:$A$496,"=41",'Unos rashoda P4'!$S$3:$S$496,"=34")</f>
        <v>0</v>
      </c>
      <c r="H17" s="61">
        <f>SUMIFS('Unos rashoda i izdataka'!$J$3:$J$498,'Unos rashoda i izdataka'!$C$3:$C$498,"=43",'Unos rashoda i izdataka'!$P$3:$P$498,"=34")+SUMIFS('Unos rashoda P4'!$H$3:$H$496,'Unos rashoda P4'!$A$3:$A$496,"=43",'Unos rashoda P4'!$S$3:$S$496,"=34")</f>
        <v>1272</v>
      </c>
      <c r="I17" s="61">
        <f>SUMIFS('Unos rashoda i izdataka'!$J$3:$J$498,'Unos rashoda i izdataka'!$C$3:$C$498,"=51",'Unos rashoda i izdataka'!$P$3:$P$498,"=34")+SUMIFS('Unos rashoda P4'!$H$3:$H$496,'Unos rashoda P4'!$A$3:$A$496,"=51",'Unos rashoda P4'!$S$3:$S$496,"=34")</f>
        <v>27</v>
      </c>
      <c r="J17" s="61">
        <f>SUMIFS('Unos rashoda i izdataka'!$J$3:$J$498,'Unos rashoda i izdataka'!$C$3:$C$498,"=52",'Unos rashoda i izdataka'!$P$3:$P$498,"=34")+SUMIFS('Unos rashoda P4'!$H$3:$H$496,'Unos rashoda P4'!$A$3:$A$496,"=52",'Unos rashoda P4'!$S$3:$S$496,"=34")</f>
        <v>0</v>
      </c>
      <c r="K17" s="61">
        <f>SUMIFS('Unos rashoda i izdataka'!$J$3:$J$498,'Unos rashoda i izdataka'!$C$3:$C$498,"=552",'Unos rashoda i izdataka'!$P$3:$P$498,"=34")+SUMIFS('Unos rashoda P4'!$H$3:$H$496,'Unos rashoda P4'!$A$3:$A$496,"=552",'Unos rashoda P4'!$S$3:$S$496,"=34")</f>
        <v>0</v>
      </c>
      <c r="L17" s="61">
        <f>SUMIFS('Unos rashoda i izdataka'!$J$3:$J$498,'Unos rashoda i izdataka'!$C$3:$C$498,"=559",'Unos rashoda i izdataka'!$P$3:$P$498,"=34")+SUMIFS('Unos rashoda P4'!$H$3:$H$496,'Unos rashoda P4'!$A$3:$A$496,"=559",'Unos rashoda P4'!$S$3:$S$496,"=34")</f>
        <v>0</v>
      </c>
      <c r="M17" s="61">
        <f>SUMIFS('Unos rashoda i izdataka'!$J$3:$J$498,'Unos rashoda i izdataka'!$C$3:$C$498,"=561",'Unos rashoda i izdataka'!$P$3:$P$498,"=34")+SUMIFS('Unos rashoda P4'!$H$3:$H$496,'Unos rashoda P4'!$A$3:$A$496,"=561",'Unos rashoda P4'!$S$3:$S$496,"=34")</f>
        <v>0</v>
      </c>
      <c r="N17" s="61">
        <f>SUMIFS('Unos rashoda i izdataka'!$J$3:$J$498,'Unos rashoda i izdataka'!$C$3:$C$498,"=563",'Unos rashoda i izdataka'!$P$3:$P$498,"=34")+SUMIFS('Unos rashoda P4'!$H$3:$H$496,'Unos rashoda P4'!$A$3:$A$496,"=563",'Unos rashoda P4'!$S$3:$S$496,"=34")</f>
        <v>0</v>
      </c>
      <c r="O17" s="61">
        <f>SUMIFS('Unos rashoda i izdataka'!$J$3:$J$498,'Unos rashoda i izdataka'!$C$3:$C$498,"=573",'Unos rashoda i izdataka'!$P$3:$P$498,"=34")+SUMIFS('Unos rashoda P4'!$H$3:$H$496,'Unos rashoda P4'!$A$3:$A$496,"=573",'Unos rashoda P4'!$S$3:$S$496,"=34")</f>
        <v>0</v>
      </c>
      <c r="P17" s="61">
        <f>SUMIFS('Unos rashoda i izdataka'!$J$3:$J$498,'Unos rashoda i izdataka'!$C$3:$C$498,"=575",'Unos rashoda i izdataka'!$P$3:$P$498,"=34")+SUMIFS('Unos rashoda P4'!$H$3:$H$496,'Unos rashoda P4'!$A$3:$A$496,"=575",'Unos rashoda P4'!$S$3:$S$496,"=34")</f>
        <v>0</v>
      </c>
      <c r="Q17" s="61">
        <f>SUMIFS('Unos rashoda i izdataka'!$J$3:$J$498,'Unos rashoda i izdataka'!$Q$3:$Q$498,"=576",'Unos rashoda i izdataka'!$P$3:$P$498,"=34")+SUMIFS('Unos rashoda P4'!$H$3:$H$496,'Unos rashoda P4'!$A$3:$A$496,"=576",'Unos rashoda P4'!$S$3:$S$496,"=34")</f>
        <v>0</v>
      </c>
      <c r="R17" s="61">
        <f>SUMIFS('Unos rashoda i izdataka'!$J$3:$J$498,'Unos rashoda i izdataka'!$C$3:$C$498,"=581",'Unos rashoda i izdataka'!$P$3:$P$498,"=34")+SUMIFS('Unos rashoda P4'!$H$3:$H$496,'Unos rashoda P4'!$A$3:$A$496,"=581",'Unos rashoda P4'!$S$3:$S$496,"=34")</f>
        <v>0</v>
      </c>
      <c r="S17" s="61">
        <f>SUMIFS('Unos rashoda i izdataka'!$J$3:$J$498,'Unos rashoda i izdataka'!$C$3:$C$498,"=61",'Unos rashoda i izdataka'!$P$3:$P$498,"=34")+SUMIFS('Unos rashoda P4'!$H$3:$H$496,'Unos rashoda P4'!$A$3:$A$496,"=61",'Unos rashoda P4'!$S$3:$S$496,"=34")</f>
        <v>0</v>
      </c>
      <c r="T17" s="61">
        <f>SUMIFS('Unos rashoda i izdataka'!$J$3:$J$498,'Unos rashoda i izdataka'!$C$3:$C$498,"=63",'Unos rashoda i izdataka'!$P$3:$P$498,"=34")+SUMIFS('Unos rashoda P4'!$H$3:$H$496,'Unos rashoda P4'!$A$3:$A$496,"=63",'Unos rashoda P4'!$S$3:$S$496,"=34")</f>
        <v>0</v>
      </c>
      <c r="U17" s="61">
        <f>SUMIFS('Unos rashoda i izdataka'!$J$3:$J$498,'Unos rashoda i izdataka'!$C$3:$C$498,"=71",'Unos rashoda i izdataka'!$P$3:$P$498,"=34")+SUMIFS('Unos rashoda P4'!$H$3:$H$496,'Unos rashoda P4'!$A$3:$A$496,"=71",'Unos rashoda P4'!$S$3:$S$496,"=34")</f>
        <v>0</v>
      </c>
      <c r="V17" s="61">
        <f>SUMIFS('Unos rashoda i izdataka'!$J$3:$J$498,'Unos rashoda i izdataka'!$C$3:$C$498,"=81",'Unos rashoda i izdataka'!$P$3:$P$498,"=34")+SUMIFS('Unos rashoda P4'!$H$3:$H$496,'Unos rashoda P4'!$A$3:$A$496,"=81",'Unos rashoda P4'!$S$3:$S$496,"=34")</f>
        <v>0</v>
      </c>
    </row>
    <row r="18" spans="1:22" s="10" customFormat="1" ht="12.6" customHeight="1">
      <c r="A18" s="255"/>
      <c r="B18" s="9"/>
      <c r="C18" s="58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s="10" customFormat="1" ht="12.6" customHeight="1">
      <c r="A19" s="255"/>
      <c r="B19" s="9"/>
      <c r="C19" s="58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s="10" customFormat="1" ht="12.6" customHeight="1">
      <c r="A20" s="255"/>
      <c r="B20" s="9"/>
      <c r="C20" s="58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s="28" customFormat="1" ht="12.6" customHeight="1">
      <c r="A21" s="255">
        <v>35</v>
      </c>
      <c r="B21" s="9" t="s">
        <v>3579</v>
      </c>
      <c r="C21" s="58">
        <f t="shared" si="3"/>
        <v>3401</v>
      </c>
      <c r="D21" s="61">
        <f>SUMIFS('Unos rashoda i izdataka'!$J$3:$J$498,'Unos rashoda i izdataka'!$C$3:$C$498,"=11",'Unos rashoda i izdataka'!$P$3:$P$498,"=35")+SUMIFS('Unos rashoda P4'!$H$3:$H$496,'Unos rashoda P4'!$A$3:$A$496,"=11",'Unos rashoda P4'!$S$3:$S$496,"=35")</f>
        <v>0</v>
      </c>
      <c r="E21" s="61">
        <f>SUMIFS('Unos rashoda i izdataka'!$J$3:$J$498,'Unos rashoda i izdataka'!$C$3:$C$498,"=12",'Unos rashoda i izdataka'!$P$3:$P$498,"=35")+SUMIFS('Unos rashoda P4'!$H$3:$H$496,'Unos rashoda P4'!$A$3:$A$496,"=12",'Unos rashoda P4'!$S$3:$S$496,"=35")</f>
        <v>3401</v>
      </c>
      <c r="F21" s="61">
        <f>SUMIFS('Unos rashoda i izdataka'!$J$3:$J$498,'Unos rashoda i izdataka'!$C$3:$C$498,"=31",'Unos rashoda i izdataka'!$P$3:$P$498,"=35")+SUMIFS('Unos rashoda P4'!$H$3:$H$496,'Unos rashoda P4'!$A$3:$A$496,"=31",'Unos rashoda P4'!$S$3:$S$496,"=35")</f>
        <v>0</v>
      </c>
      <c r="G21" s="61">
        <f>SUMIFS('Unos rashoda i izdataka'!$J$3:$J$498,'Unos rashoda i izdataka'!$C$3:$C$498,"=41",'Unos rashoda i izdataka'!$P$3:$P$498,"=35")+SUMIFS('Unos rashoda P4'!$H$3:$H$496,'Unos rashoda P4'!$A$3:$A$496,"=41",'Unos rashoda P4'!$S$3:$S$496,"=35")</f>
        <v>0</v>
      </c>
      <c r="H21" s="61">
        <f>SUMIFS('Unos rashoda i izdataka'!$J$3:$J$498,'Unos rashoda i izdataka'!$C$3:$C$498,"=43",'Unos rashoda i izdataka'!$P$3:$P$498,"=35")+SUMIFS('Unos rashoda P4'!$H$3:$H$496,'Unos rashoda P4'!$A$3:$A$496,"=43",'Unos rashoda P4'!$S$3:$S$496,"=35")</f>
        <v>0</v>
      </c>
      <c r="I21" s="61">
        <f>SUMIFS('Unos rashoda i izdataka'!$J$3:$J$498,'Unos rashoda i izdataka'!$C$3:$C$498,"=51",'Unos rashoda i izdataka'!$P$3:$P$498,"=35")+SUMIFS('Unos rashoda P4'!$H$3:$H$496,'Unos rashoda P4'!$A$3:$A$496,"=51",'Unos rashoda P4'!$S$3:$S$496,"=35")</f>
        <v>0</v>
      </c>
      <c r="J21" s="61">
        <f>SUMIFS('Unos rashoda i izdataka'!$J$3:$J$498,'Unos rashoda i izdataka'!$C$3:$C$498,"=52",'Unos rashoda i izdataka'!$P$3:$P$498,"=35")+SUMIFS('Unos rashoda P4'!$H$3:$H$496,'Unos rashoda P4'!$A$3:$A$496,"=52",'Unos rashoda P4'!$S$3:$S$496,"=35")</f>
        <v>0</v>
      </c>
      <c r="K21" s="61">
        <f>SUMIFS('Unos rashoda i izdataka'!$J$3:$J$498,'Unos rashoda i izdataka'!$C$3:$C$498,"=552",'Unos rashoda i izdataka'!$P$3:$P$498,"=35")+SUMIFS('Unos rashoda P4'!$H$3:$H$496,'Unos rashoda P4'!$A$3:$A$496,"=552",'Unos rashoda P4'!$S$3:$S$496,"=35")</f>
        <v>0</v>
      </c>
      <c r="L21" s="61">
        <f>SUMIFS('Unos rashoda i izdataka'!$J$3:$J$498,'Unos rashoda i izdataka'!$C$3:$C$498,"=559",'Unos rashoda i izdataka'!$P$3:$P$498,"=35")+SUMIFS('Unos rashoda P4'!$H$3:$H$496,'Unos rashoda P4'!$A$3:$A$496,"=559",'Unos rashoda P4'!$S$3:$S$496,"=35")</f>
        <v>0</v>
      </c>
      <c r="M21" s="61">
        <f>SUMIFS('Unos rashoda i izdataka'!$J$3:$J$498,'Unos rashoda i izdataka'!$C$3:$C$498,"=561",'Unos rashoda i izdataka'!$P$3:$P$498,"=35")+SUMIFS('Unos rashoda P4'!$H$3:$H$496,'Unos rashoda P4'!$A$3:$A$496,"=561",'Unos rashoda P4'!$S$3:$S$496,"=35")</f>
        <v>0</v>
      </c>
      <c r="N21" s="61">
        <f>SUMIFS('Unos rashoda i izdataka'!$J$3:$J$498,'Unos rashoda i izdataka'!$C$3:$C$498,"=563",'Unos rashoda i izdataka'!$P$3:$P$498,"=35")+SUMIFS('Unos rashoda P4'!$H$3:$H$496,'Unos rashoda P4'!$A$3:$A$496,"=563",'Unos rashoda P4'!$S$3:$S$496,"=35")</f>
        <v>0</v>
      </c>
      <c r="O21" s="61">
        <f>SUMIFS('Unos rashoda i izdataka'!$J$3:$J$498,'Unos rashoda i izdataka'!$C$3:$C$498,"=573",'Unos rashoda i izdataka'!$P$3:$P$498,"=35")+SUMIFS('Unos rashoda P4'!$H$3:$H$496,'Unos rashoda P4'!$A$3:$A$496,"=573",'Unos rashoda P4'!$S$3:$S$496,"=35")</f>
        <v>0</v>
      </c>
      <c r="P21" s="61">
        <f>SUMIFS('Unos rashoda i izdataka'!$J$3:$J$498,'Unos rashoda i izdataka'!$C$3:$C$498,"=575",'Unos rashoda i izdataka'!$P$3:$P$498,"=35")+SUMIFS('Unos rashoda P4'!$H$3:$H$496,'Unos rashoda P4'!$A$3:$A$496,"=575",'Unos rashoda P4'!$S$3:$S$496,"=35")</f>
        <v>0</v>
      </c>
      <c r="Q21" s="61">
        <f>SUMIFS('Unos rashoda i izdataka'!$J$3:$J$498,'Unos rashoda i izdataka'!$Q$3:$Q$498,"=576",'Unos rashoda i izdataka'!$P$3:$P$498,"=35")+SUMIFS('Unos rashoda P4'!$H$3:$H$496,'Unos rashoda P4'!$A$3:$A$496,"=576",'Unos rashoda P4'!$S$3:$S$496,"=35")</f>
        <v>0</v>
      </c>
      <c r="R21" s="61">
        <f>SUMIFS('Unos rashoda i izdataka'!$J$3:$J$498,'Unos rashoda i izdataka'!$C$3:$C$498,"=581",'Unos rashoda i izdataka'!$P$3:$P$498,"=35")+SUMIFS('Unos rashoda P4'!$H$3:$H$496,'Unos rashoda P4'!$A$3:$A$496,"=581",'Unos rashoda P4'!$S$3:$S$496,"=35")</f>
        <v>0</v>
      </c>
      <c r="S21" s="61">
        <f>SUMIFS('Unos rashoda i izdataka'!$J$3:$J$498,'Unos rashoda i izdataka'!$C$3:$C$498,"=61",'Unos rashoda i izdataka'!$P$3:$P$498,"=35")+SUMIFS('Unos rashoda P4'!$H$3:$H$496,'Unos rashoda P4'!$A$3:$A$496,"=61",'Unos rashoda P4'!$S$3:$S$496,"=35")</f>
        <v>0</v>
      </c>
      <c r="T21" s="61">
        <f>SUMIFS('Unos rashoda i izdataka'!$J$3:$J$498,'Unos rashoda i izdataka'!$C$3:$C$498,"=63",'Unos rashoda i izdataka'!$P$3:$P$498,"=35")+SUMIFS('Unos rashoda P4'!$H$3:$H$496,'Unos rashoda P4'!$A$3:$A$496,"=63",'Unos rashoda P4'!$S$3:$S$496,"=35")</f>
        <v>0</v>
      </c>
      <c r="U21" s="61">
        <f>SUMIFS('Unos rashoda i izdataka'!$J$3:$J$498,'Unos rashoda i izdataka'!$C$3:$C$498,"=71",'Unos rashoda i izdataka'!$P$3:$P$498,"=35")+SUMIFS('Unos rashoda P4'!$H$3:$H$496,'Unos rashoda P4'!$A$3:$A$496,"=71",'Unos rashoda P4'!$S$3:$S$496,"=35")</f>
        <v>0</v>
      </c>
      <c r="V21" s="61">
        <f>SUMIFS('Unos rashoda i izdataka'!$J$3:$J$498,'Unos rashoda i izdataka'!$C$3:$C$498,"=81",'Unos rashoda i izdataka'!$P$3:$P$498,"=35")+SUMIFS('Unos rashoda P4'!$H$3:$H$496,'Unos rashoda P4'!$A$3:$A$496,"=81",'Unos rashoda P4'!$S$3:$S$496,"=35")</f>
        <v>0</v>
      </c>
    </row>
    <row r="22" spans="1:22" s="28" customFormat="1" ht="12.6" customHeight="1">
      <c r="A22" s="255"/>
      <c r="B22" s="9"/>
      <c r="C22" s="58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s="28" customFormat="1" ht="12.6" customHeight="1">
      <c r="A23" s="255"/>
      <c r="B23" s="9"/>
      <c r="C23" s="58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s="28" customFormat="1" ht="12.6" customHeight="1">
      <c r="A24" s="255"/>
      <c r="B24" s="9"/>
      <c r="C24" s="58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s="28" customFormat="1" ht="12.6" customHeight="1">
      <c r="A25" s="255">
        <v>36</v>
      </c>
      <c r="B25" s="11" t="s">
        <v>3580</v>
      </c>
      <c r="C25" s="58">
        <f t="shared" si="3"/>
        <v>72</v>
      </c>
      <c r="D25" s="61">
        <f>SUMIFS('Unos rashoda i izdataka'!$J$3:$J$498,'Unos rashoda i izdataka'!$C$3:$C$498,"=11",'Unos rashoda i izdataka'!$P$3:$P$498,"=36")+SUMIFS('Unos rashoda P4'!$H$3:$H$496,'Unos rashoda P4'!$A$3:$A$496,"=11",'Unos rashoda P4'!$S$3:$S$496,"=36")</f>
        <v>0</v>
      </c>
      <c r="E25" s="61">
        <f>SUMIFS('Unos rashoda i izdataka'!$J$3:$J$498,'Unos rashoda i izdataka'!$C$3:$C$498,"=12",'Unos rashoda i izdataka'!$P$3:$P$498,"=36")+SUMIFS('Unos rashoda P4'!$H$3:$H$496,'Unos rashoda P4'!$A$3:$A$496,"=12",'Unos rashoda P4'!$S$3:$S$496,"=36")</f>
        <v>0</v>
      </c>
      <c r="F25" s="61">
        <f>SUMIFS('Unos rashoda i izdataka'!$J$3:$J$498,'Unos rashoda i izdataka'!$C$3:$C$498,"=31",'Unos rashoda i izdataka'!$P$3:$P$498,"=36")+SUMIFS('Unos rashoda P4'!$H$3:$H$496,'Unos rashoda P4'!$A$3:$A$496,"=31",'Unos rashoda P4'!$S$3:$S$496,"=36")</f>
        <v>0</v>
      </c>
      <c r="G25" s="61">
        <f>SUMIFS('Unos rashoda i izdataka'!$J$3:$J$498,'Unos rashoda i izdataka'!$C$3:$C$498,"=41",'Unos rashoda i izdataka'!$P$3:$P$498,"=36")+SUMIFS('Unos rashoda P4'!$H$3:$H$496,'Unos rashoda P4'!$A$3:$A$496,"=41",'Unos rashoda P4'!$S$3:$S$496,"=36")</f>
        <v>0</v>
      </c>
      <c r="H25" s="61">
        <f>SUMIFS('Unos rashoda i izdataka'!$J$3:$J$498,'Unos rashoda i izdataka'!$C$3:$C$498,"=43",'Unos rashoda i izdataka'!$P$3:$P$498,"=36")+SUMIFS('Unos rashoda P4'!$H$3:$H$496,'Unos rashoda P4'!$A$3:$A$496,"=43",'Unos rashoda P4'!$S$3:$S$496,"=36")</f>
        <v>0</v>
      </c>
      <c r="I25" s="61">
        <f>SUMIFS('Unos rashoda i izdataka'!$J$3:$J$498,'Unos rashoda i izdataka'!$C$3:$C$498,"=51",'Unos rashoda i izdataka'!$P$3:$P$498,"=36")+SUMIFS('Unos rashoda P4'!$H$3:$H$496,'Unos rashoda P4'!$A$3:$A$496,"=51",'Unos rashoda P4'!$S$3:$S$496,"=36")</f>
        <v>72</v>
      </c>
      <c r="J25" s="61">
        <f>SUMIFS('Unos rashoda i izdataka'!$J$3:$J$498,'Unos rashoda i izdataka'!$C$3:$C$498,"=52",'Unos rashoda i izdataka'!$P$3:$P$498,"=36")+SUMIFS('Unos rashoda P4'!$H$3:$H$496,'Unos rashoda P4'!$A$3:$A$496,"=52",'Unos rashoda P4'!$S$3:$S$496,"=36")</f>
        <v>0</v>
      </c>
      <c r="K25" s="61">
        <f>SUMIFS('Unos rashoda i izdataka'!$J$3:$J$498,'Unos rashoda i izdataka'!$C$3:$C$498,"=552",'Unos rashoda i izdataka'!$P$3:$P$498,"=36")+SUMIFS('Unos rashoda P4'!$H$3:$H$496,'Unos rashoda P4'!$A$3:$A$496,"=552",'Unos rashoda P4'!$S$3:$S$496,"=36")</f>
        <v>0</v>
      </c>
      <c r="L25" s="61">
        <f>SUMIFS('Unos rashoda i izdataka'!$J$3:$J$498,'Unos rashoda i izdataka'!$C$3:$C$498,"=559",'Unos rashoda i izdataka'!$P$3:$P$498,"=36")+SUMIFS('Unos rashoda P4'!$H$3:$H$496,'Unos rashoda P4'!$A$3:$A$496,"=559",'Unos rashoda P4'!$S$3:$S$496,"=36")</f>
        <v>0</v>
      </c>
      <c r="M25" s="61">
        <f>SUMIFS('Unos rashoda i izdataka'!$J$3:$J$498,'Unos rashoda i izdataka'!$C$3:$C$498,"=561",'Unos rashoda i izdataka'!$P$3:$P$498,"=36")+SUMIFS('Unos rashoda P4'!$H$3:$H$496,'Unos rashoda P4'!$A$3:$A$496,"=561",'Unos rashoda P4'!$S$3:$S$496,"=36")</f>
        <v>0</v>
      </c>
      <c r="N25" s="61">
        <f>SUMIFS('Unos rashoda i izdataka'!$J$3:$J$498,'Unos rashoda i izdataka'!$C$3:$C$498,"=563",'Unos rashoda i izdataka'!$P$3:$P$498,"=36")+SUMIFS('Unos rashoda P4'!$H$3:$H$496,'Unos rashoda P4'!$A$3:$A$496,"=563",'Unos rashoda P4'!$S$3:$S$496,"=36")</f>
        <v>0</v>
      </c>
      <c r="O25" s="61">
        <f>SUMIFS('Unos rashoda i izdataka'!$J$3:$J$498,'Unos rashoda i izdataka'!$C$3:$C$498,"=573",'Unos rashoda i izdataka'!$P$3:$P$498,"=36")+SUMIFS('Unos rashoda P4'!$H$3:$H$496,'Unos rashoda P4'!$A$3:$A$496,"=573",'Unos rashoda P4'!$S$3:$S$496,"=36")</f>
        <v>0</v>
      </c>
      <c r="P25" s="61">
        <f>SUMIFS('Unos rashoda i izdataka'!$J$3:$J$498,'Unos rashoda i izdataka'!$C$3:$C$498,"=575",'Unos rashoda i izdataka'!$P$3:$P$498,"=36")+SUMIFS('Unos rashoda P4'!$H$3:$H$496,'Unos rashoda P4'!$A$3:$A$496,"=575",'Unos rashoda P4'!$S$3:$S$496,"=36")</f>
        <v>0</v>
      </c>
      <c r="Q25" s="61">
        <f>SUMIFS('Unos rashoda i izdataka'!$J$3:$J$498,'Unos rashoda i izdataka'!$Q$3:$Q$498,"=576",'Unos rashoda i izdataka'!$P$3:$P$498,"=36")+SUMIFS('Unos rashoda P4'!$H$3:$H$496,'Unos rashoda P4'!$A$3:$A$496,"=576",'Unos rashoda P4'!$S$3:$S$496,"=36")</f>
        <v>0</v>
      </c>
      <c r="R25" s="61">
        <f>SUMIFS('Unos rashoda i izdataka'!$J$3:$J$498,'Unos rashoda i izdataka'!$C$3:$C$498,"=581",'Unos rashoda i izdataka'!$P$3:$P$498,"=36")+SUMIFS('Unos rashoda P4'!$H$3:$H$496,'Unos rashoda P4'!$A$3:$A$496,"=581",'Unos rashoda P4'!$S$3:$S$496,"=36")</f>
        <v>0</v>
      </c>
      <c r="S25" s="61">
        <f>SUMIFS('Unos rashoda i izdataka'!$J$3:$J$498,'Unos rashoda i izdataka'!$C$3:$C$498,"=61",'Unos rashoda i izdataka'!$P$3:$P$498,"=36")+SUMIFS('Unos rashoda P4'!$H$3:$H$496,'Unos rashoda P4'!$A$3:$A$496,"=61",'Unos rashoda P4'!$S$3:$S$496,"=36")</f>
        <v>0</v>
      </c>
      <c r="T25" s="61">
        <f>SUMIFS('Unos rashoda i izdataka'!$J$3:$J$498,'Unos rashoda i izdataka'!$C$3:$C$498,"=63",'Unos rashoda i izdataka'!$P$3:$P$498,"=36")+SUMIFS('Unos rashoda P4'!$H$3:$H$496,'Unos rashoda P4'!$A$3:$A$496,"=63",'Unos rashoda P4'!$S$3:$S$496,"=36")</f>
        <v>0</v>
      </c>
      <c r="U25" s="61">
        <f>SUMIFS('Unos rashoda i izdataka'!$J$3:$J$498,'Unos rashoda i izdataka'!$C$3:$C$498,"=71",'Unos rashoda i izdataka'!$P$3:$P$498,"=36")+SUMIFS('Unos rashoda P4'!$H$3:$H$496,'Unos rashoda P4'!$A$3:$A$496,"=71",'Unos rashoda P4'!$S$3:$S$496,"=36")</f>
        <v>0</v>
      </c>
      <c r="V25" s="61">
        <f>SUMIFS('Unos rashoda i izdataka'!$J$3:$J$498,'Unos rashoda i izdataka'!$C$3:$C$498,"=81",'Unos rashoda i izdataka'!$P$3:$P$498,"=36")+SUMIFS('Unos rashoda P4'!$H$3:$H$496,'Unos rashoda P4'!$A$3:$A$496,"=81",'Unos rashoda P4'!$S$3:$S$496,"=36")</f>
        <v>0</v>
      </c>
    </row>
    <row r="26" spans="1:22" s="28" customFormat="1" ht="12.6" customHeight="1">
      <c r="A26" s="255"/>
      <c r="B26" s="11"/>
      <c r="C26" s="58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s="28" customFormat="1" ht="12.6" customHeight="1">
      <c r="A27" s="255"/>
      <c r="B27" s="11"/>
      <c r="C27" s="58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s="28" customFormat="1" ht="12.6" customHeight="1">
      <c r="A28" s="255"/>
      <c r="B28" s="11"/>
      <c r="C28" s="58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s="28" customFormat="1" ht="12.6" customHeight="1">
      <c r="A29" s="255"/>
      <c r="B29" s="11"/>
      <c r="C29" s="58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s="12" customFormat="1" ht="12.6" customHeight="1">
      <c r="A30" s="255">
        <v>37</v>
      </c>
      <c r="B30" s="9" t="s">
        <v>3581</v>
      </c>
      <c r="C30" s="58">
        <f t="shared" si="3"/>
        <v>1924</v>
      </c>
      <c r="D30" s="61">
        <f>SUMIFS('Unos rashoda i izdataka'!$J$3:$J$498,'Unos rashoda i izdataka'!$C$3:$C$498,"=11",'Unos rashoda i izdataka'!$P$3:$P$498,"=37")+SUMIFS('Unos rashoda P4'!$H$3:$H$496,'Unos rashoda P4'!$A$3:$A$496,"=11",'Unos rashoda P4'!$S$3:$S$496,"=37")</f>
        <v>0</v>
      </c>
      <c r="E30" s="61">
        <f>SUMIFS('Unos rashoda i izdataka'!$J$3:$J$498,'Unos rashoda i izdataka'!$C$3:$C$498,"=12",'Unos rashoda i izdataka'!$P$3:$P$498,"=37")+SUMIFS('Unos rashoda P4'!$H$3:$H$496,'Unos rashoda P4'!$A$3:$A$496,"=12",'Unos rashoda P4'!$S$3:$S$496,"=37")</f>
        <v>0</v>
      </c>
      <c r="F30" s="61">
        <f>SUMIFS('Unos rashoda i izdataka'!$J$3:$J$498,'Unos rashoda i izdataka'!$C$3:$C$498,"=31",'Unos rashoda i izdataka'!$P$3:$P$498,"=37")+SUMIFS('Unos rashoda P4'!$H$3:$H$496,'Unos rashoda P4'!$A$3:$A$496,"=31",'Unos rashoda P4'!$S$3:$S$496,"=37")</f>
        <v>0</v>
      </c>
      <c r="G30" s="61">
        <f>SUMIFS('Unos rashoda i izdataka'!$J$3:$J$498,'Unos rashoda i izdataka'!$C$3:$C$498,"=41",'Unos rashoda i izdataka'!$P$3:$P$498,"=37")+SUMIFS('Unos rashoda P4'!$H$3:$H$496,'Unos rashoda P4'!$A$3:$A$496,"=41",'Unos rashoda P4'!$S$3:$S$496,"=37")</f>
        <v>0</v>
      </c>
      <c r="H30" s="61">
        <f>SUMIFS('Unos rashoda i izdataka'!$J$3:$J$498,'Unos rashoda i izdataka'!$C$3:$C$498,"=43",'Unos rashoda i izdataka'!$P$3:$P$498,"=37")+SUMIFS('Unos rashoda P4'!$H$3:$H$496,'Unos rashoda P4'!$A$3:$A$496,"=43",'Unos rashoda P4'!$S$3:$S$496,"=37")</f>
        <v>1924</v>
      </c>
      <c r="I30" s="61">
        <f>SUMIFS('Unos rashoda i izdataka'!$J$3:$J$498,'Unos rashoda i izdataka'!$C$3:$C$498,"=51",'Unos rashoda i izdataka'!$P$3:$P$498,"=37")+SUMIFS('Unos rashoda P4'!$H$3:$H$496,'Unos rashoda P4'!$A$3:$A$496,"=51",'Unos rashoda P4'!$S$3:$S$496,"=37")</f>
        <v>0</v>
      </c>
      <c r="J30" s="61">
        <f>SUMIFS('Unos rashoda i izdataka'!$J$3:$J$498,'Unos rashoda i izdataka'!$C$3:$C$498,"=52",'Unos rashoda i izdataka'!$P$3:$P$498,"=37")+SUMIFS('Unos rashoda P4'!$H$3:$H$496,'Unos rashoda P4'!$A$3:$A$496,"=52",'Unos rashoda P4'!$S$3:$S$496,"=37")</f>
        <v>0</v>
      </c>
      <c r="K30" s="61">
        <f>SUMIFS('Unos rashoda i izdataka'!$J$3:$J$498,'Unos rashoda i izdataka'!$C$3:$C$498,"=552",'Unos rashoda i izdataka'!$P$3:$P$498,"=37")+SUMIFS('Unos rashoda P4'!$H$3:$H$496,'Unos rashoda P4'!$A$3:$A$496,"=552",'Unos rashoda P4'!$S$3:$S$496,"=37")</f>
        <v>0</v>
      </c>
      <c r="L30" s="61">
        <f>SUMIFS('Unos rashoda i izdataka'!$J$3:$J$498,'Unos rashoda i izdataka'!$C$3:$C$498,"=559",'Unos rashoda i izdataka'!$P$3:$P$498,"=37")+SUMIFS('Unos rashoda P4'!$H$3:$H$496,'Unos rashoda P4'!$A$3:$A$496,"=559",'Unos rashoda P4'!$S$3:$S$496,"=37")</f>
        <v>0</v>
      </c>
      <c r="M30" s="61">
        <f>SUMIFS('Unos rashoda i izdataka'!$J$3:$J$498,'Unos rashoda i izdataka'!$C$3:$C$498,"=561",'Unos rashoda i izdataka'!$P$3:$P$498,"=37")+SUMIFS('Unos rashoda P4'!$H$3:$H$496,'Unos rashoda P4'!$A$3:$A$496,"=561",'Unos rashoda P4'!$S$3:$S$496,"=37")</f>
        <v>0</v>
      </c>
      <c r="N30" s="61">
        <f>SUMIFS('Unos rashoda i izdataka'!$J$3:$J$498,'Unos rashoda i izdataka'!$C$3:$C$498,"=563",'Unos rashoda i izdataka'!$P$3:$P$498,"=37")+SUMIFS('Unos rashoda P4'!$H$3:$H$496,'Unos rashoda P4'!$A$3:$A$496,"=563",'Unos rashoda P4'!$S$3:$S$496,"=37")</f>
        <v>0</v>
      </c>
      <c r="O30" s="61">
        <f>SUMIFS('Unos rashoda i izdataka'!$J$3:$J$498,'Unos rashoda i izdataka'!$C$3:$C$498,"=573",'Unos rashoda i izdataka'!$P$3:$P$498,"=37")+SUMIFS('Unos rashoda P4'!$H$3:$H$496,'Unos rashoda P4'!$A$3:$A$496,"=573",'Unos rashoda P4'!$S$3:$S$496,"=37")</f>
        <v>0</v>
      </c>
      <c r="P30" s="61">
        <f>SUMIFS('Unos rashoda i izdataka'!$J$3:$J$498,'Unos rashoda i izdataka'!$C$3:$C$498,"=575",'Unos rashoda i izdataka'!$P$3:$P$498,"=37")+SUMIFS('Unos rashoda P4'!$H$3:$H$496,'Unos rashoda P4'!$A$3:$A$496,"=575",'Unos rashoda P4'!$S$3:$S$496,"=37")</f>
        <v>0</v>
      </c>
      <c r="Q30" s="61">
        <f>SUMIFS('Unos rashoda i izdataka'!$J$3:$J$498,'Unos rashoda i izdataka'!$Q$3:$Q$498,"=576",'Unos rashoda i izdataka'!$P$3:$P$498,"=37")+SUMIFS('Unos rashoda P4'!$H$3:$H$496,'Unos rashoda P4'!$A$3:$A$496,"=576",'Unos rashoda P4'!$S$3:$S$496,"=37")</f>
        <v>0</v>
      </c>
      <c r="R30" s="61">
        <f>SUMIFS('Unos rashoda i izdataka'!$J$3:$J$498,'Unos rashoda i izdataka'!$C$3:$C$498,"=581",'Unos rashoda i izdataka'!$P$3:$P$498,"=37")+SUMIFS('Unos rashoda P4'!$H$3:$H$496,'Unos rashoda P4'!$A$3:$A$496,"=581",'Unos rashoda P4'!$S$3:$S$496,"=37")</f>
        <v>0</v>
      </c>
      <c r="S30" s="61">
        <f>SUMIFS('Unos rashoda i izdataka'!$J$3:$J$498,'Unos rashoda i izdataka'!$C$3:$C$498,"=61",'Unos rashoda i izdataka'!$P$3:$P$498,"=37")+SUMIFS('Unos rashoda P4'!$H$3:$H$496,'Unos rashoda P4'!$A$3:$A$496,"=61",'Unos rashoda P4'!$S$3:$S$496,"=37")</f>
        <v>0</v>
      </c>
      <c r="T30" s="61">
        <f>SUMIFS('Unos rashoda i izdataka'!$J$3:$J$498,'Unos rashoda i izdataka'!$C$3:$C$498,"=63",'Unos rashoda i izdataka'!$P$3:$P$498,"=37")+SUMIFS('Unos rashoda P4'!$H$3:$H$496,'Unos rashoda P4'!$A$3:$A$496,"=63",'Unos rashoda P4'!$S$3:$S$496,"=37")</f>
        <v>0</v>
      </c>
      <c r="U30" s="61">
        <f>SUMIFS('Unos rashoda i izdataka'!$J$3:$J$498,'Unos rashoda i izdataka'!$C$3:$C$498,"=71",'Unos rashoda i izdataka'!$P$3:$P$498,"=37")+SUMIFS('Unos rashoda P4'!$H$3:$H$496,'Unos rashoda P4'!$A$3:$A$496,"=71",'Unos rashoda P4'!$S$3:$S$496,"=37")</f>
        <v>0</v>
      </c>
      <c r="V30" s="61">
        <f>SUMIFS('Unos rashoda i izdataka'!$J$3:$J$498,'Unos rashoda i izdataka'!$C$3:$C$498,"=81",'Unos rashoda i izdataka'!$P$3:$P$498,"=37")+SUMIFS('Unos rashoda P4'!$H$3:$H$496,'Unos rashoda P4'!$A$3:$A$496,"=81",'Unos rashoda P4'!$S$3:$S$496,"=37")</f>
        <v>0</v>
      </c>
    </row>
    <row r="31" spans="1:22" s="12" customFormat="1" ht="12.6" customHeight="1">
      <c r="A31" s="255">
        <v>38</v>
      </c>
      <c r="B31" s="9" t="s">
        <v>3582</v>
      </c>
      <c r="C31" s="58">
        <f t="shared" si="3"/>
        <v>0</v>
      </c>
      <c r="D31" s="61">
        <f>SUMIFS('Unos rashoda i izdataka'!$J$3:$J$498,'Unos rashoda i izdataka'!$C$3:$C$498,"=11",'Unos rashoda i izdataka'!$P$3:$P$498,"=38")+SUMIFS('Unos rashoda P4'!$H$3:$H$496,'Unos rashoda P4'!$A$3:$A$496,"=11",'Unos rashoda P4'!$S$3:$S$496,"=38")</f>
        <v>0</v>
      </c>
      <c r="E31" s="61">
        <f>SUMIFS('Unos rashoda i izdataka'!$J$3:$J$498,'Unos rashoda i izdataka'!$C$3:$C$498,"=12",'Unos rashoda i izdataka'!$P$3:$P$498,"=38")+SUMIFS('Unos rashoda P4'!$H$3:$H$496,'Unos rashoda P4'!$A$3:$A$496,"=12",'Unos rashoda P4'!$S$3:$S$496,"=38")</f>
        <v>0</v>
      </c>
      <c r="F31" s="61">
        <f>SUMIFS('Unos rashoda i izdataka'!$J$3:$J$498,'Unos rashoda i izdataka'!$C$3:$C$498,"=31",'Unos rashoda i izdataka'!$P$3:$P$498,"=38")+SUMIFS('Unos rashoda P4'!$H$3:$H$496,'Unos rashoda P4'!$A$3:$A$496,"=31",'Unos rashoda P4'!$S$3:$S$496,"=38")</f>
        <v>0</v>
      </c>
      <c r="G31" s="61">
        <f>SUMIFS('Unos rashoda i izdataka'!$J$3:$J$498,'Unos rashoda i izdataka'!$C$3:$C$498,"=41",'Unos rashoda i izdataka'!$P$3:$P$498,"=38")+SUMIFS('Unos rashoda P4'!$H$3:$H$496,'Unos rashoda P4'!$A$3:$A$496,"=41",'Unos rashoda P4'!$S$3:$S$496,"=38")</f>
        <v>0</v>
      </c>
      <c r="H31" s="61">
        <f>SUMIFS('Unos rashoda i izdataka'!$J$3:$J$498,'Unos rashoda i izdataka'!$C$3:$C$498,"=43",'Unos rashoda i izdataka'!$P$3:$P$498,"=38")+SUMIFS('Unos rashoda P4'!$H$3:$H$496,'Unos rashoda P4'!$A$3:$A$496,"=43",'Unos rashoda P4'!$S$3:$S$496,"=38")</f>
        <v>0</v>
      </c>
      <c r="I31" s="61">
        <f>SUMIFS('Unos rashoda i izdataka'!$J$3:$J$498,'Unos rashoda i izdataka'!$C$3:$C$498,"=51",'Unos rashoda i izdataka'!$P$3:$P$498,"=38")+SUMIFS('Unos rashoda P4'!$H$3:$H$496,'Unos rashoda P4'!$A$3:$A$496,"=51",'Unos rashoda P4'!$S$3:$S$496,"=38")</f>
        <v>0</v>
      </c>
      <c r="J31" s="61">
        <f>SUMIFS('Unos rashoda i izdataka'!$J$3:$J$498,'Unos rashoda i izdataka'!$C$3:$C$498,"=52",'Unos rashoda i izdataka'!$P$3:$P$498,"=38")+SUMIFS('Unos rashoda P4'!$H$3:$H$496,'Unos rashoda P4'!$A$3:$A$496,"=52",'Unos rashoda P4'!$S$3:$S$496,"=38")</f>
        <v>0</v>
      </c>
      <c r="K31" s="61">
        <f>SUMIFS('Unos rashoda i izdataka'!$J$3:$J$498,'Unos rashoda i izdataka'!$C$3:$C$498,"=552",'Unos rashoda i izdataka'!$P$3:$P$498,"=38")+SUMIFS('Unos rashoda P4'!$H$3:$H$496,'Unos rashoda P4'!$A$3:$A$496,"=552",'Unos rashoda P4'!$S$3:$S$496,"=38")</f>
        <v>0</v>
      </c>
      <c r="L31" s="61">
        <f>SUMIFS('Unos rashoda i izdataka'!$J$3:$J$498,'Unos rashoda i izdataka'!$C$3:$C$498,"=559",'Unos rashoda i izdataka'!$P$3:$P$498,"=38")+SUMIFS('Unos rashoda P4'!$H$3:$H$496,'Unos rashoda P4'!$A$3:$A$496,"=559",'Unos rashoda P4'!$S$3:$S$496,"=38")</f>
        <v>0</v>
      </c>
      <c r="M31" s="61">
        <f>SUMIFS('Unos rashoda i izdataka'!$J$3:$J$498,'Unos rashoda i izdataka'!$C$3:$C$498,"=561",'Unos rashoda i izdataka'!$P$3:$P$498,"=38")+SUMIFS('Unos rashoda P4'!$H$3:$H$496,'Unos rashoda P4'!$A$3:$A$496,"=561",'Unos rashoda P4'!$S$3:$S$496,"=38")</f>
        <v>0</v>
      </c>
      <c r="N31" s="61">
        <f>SUMIFS('Unos rashoda i izdataka'!$J$3:$J$498,'Unos rashoda i izdataka'!$C$3:$C$498,"=563",'Unos rashoda i izdataka'!$P$3:$P$498,"=38")+SUMIFS('Unos rashoda P4'!$H$3:$H$496,'Unos rashoda P4'!$A$3:$A$496,"=563",'Unos rashoda P4'!$S$3:$S$496,"=38")</f>
        <v>0</v>
      </c>
      <c r="O31" s="61">
        <f>SUMIFS('Unos rashoda i izdataka'!$J$3:$J$498,'Unos rashoda i izdataka'!$C$3:$C$498,"=573",'Unos rashoda i izdataka'!$P$3:$P$498,"=38")+SUMIFS('Unos rashoda P4'!$H$3:$H$496,'Unos rashoda P4'!$A$3:$A$496,"=573",'Unos rashoda P4'!$S$3:$S$496,"=38")</f>
        <v>0</v>
      </c>
      <c r="P31" s="61">
        <f>SUMIFS('Unos rashoda i izdataka'!$J$3:$J$498,'Unos rashoda i izdataka'!$C$3:$C$498,"=575",'Unos rashoda i izdataka'!$P$3:$P$498,"=38")+SUMIFS('Unos rashoda P4'!$H$3:$H$496,'Unos rashoda P4'!$A$3:$A$496,"=575",'Unos rashoda P4'!$S$3:$S$496,"=38")</f>
        <v>0</v>
      </c>
      <c r="Q31" s="61">
        <f>SUMIFS('Unos rashoda i izdataka'!$J$3:$J$498,'Unos rashoda i izdataka'!$Q$3:$Q$498,"=576",'Unos rashoda i izdataka'!$P$3:$P$498,"=38")+SUMIFS('Unos rashoda P4'!$H$3:$H$496,'Unos rashoda P4'!$A$3:$A$496,"=576",'Unos rashoda P4'!$S$3:$S$496,"=38")</f>
        <v>0</v>
      </c>
      <c r="R31" s="61">
        <f>SUMIFS('Unos rashoda i izdataka'!$J$3:$J$498,'Unos rashoda i izdataka'!$C$3:$C$498,"=581",'Unos rashoda i izdataka'!$P$3:$P$498,"=38")+SUMIFS('Unos rashoda P4'!$H$3:$H$496,'Unos rashoda P4'!$A$3:$A$496,"=581",'Unos rashoda P4'!$S$3:$S$496,"=38")</f>
        <v>0</v>
      </c>
      <c r="S31" s="61">
        <f>SUMIFS('Unos rashoda i izdataka'!$J$3:$J$498,'Unos rashoda i izdataka'!$C$3:$C$498,"=61",'Unos rashoda i izdataka'!$P$3:$P$498,"=38")+SUMIFS('Unos rashoda P4'!$H$3:$H$496,'Unos rashoda P4'!$A$3:$A$496,"=61",'Unos rashoda P4'!$S$3:$S$496,"=38")</f>
        <v>0</v>
      </c>
      <c r="T31" s="61">
        <f>SUMIFS('Unos rashoda i izdataka'!$J$3:$J$498,'Unos rashoda i izdataka'!$C$3:$C$498,"=63",'Unos rashoda i izdataka'!$P$3:$P$498,"=38")+SUMIFS('Unos rashoda P4'!$H$3:$H$496,'Unos rashoda P4'!$A$3:$A$496,"=63",'Unos rashoda P4'!$S$3:$S$496,"=38")</f>
        <v>0</v>
      </c>
      <c r="U31" s="61">
        <f>SUMIFS('Unos rashoda i izdataka'!$J$3:$J$498,'Unos rashoda i izdataka'!$C$3:$C$498,"=71",'Unos rashoda i izdataka'!$P$3:$P$498,"=38")+SUMIFS('Unos rashoda P4'!$H$3:$H$496,'Unos rashoda P4'!$A$3:$A$496,"=71",'Unos rashoda P4'!$S$3:$S$496,"=38")</f>
        <v>0</v>
      </c>
      <c r="V31" s="61">
        <f>SUMIFS('Unos rashoda i izdataka'!$J$3:$J$498,'Unos rashoda i izdataka'!$C$3:$C$498,"=81",'Unos rashoda i izdataka'!$P$3:$P$498,"=38")+SUMIFS('Unos rashoda P4'!$H$3:$H$496,'Unos rashoda P4'!$A$3:$A$496,"=81",'Unos rashoda P4'!$S$3:$S$496,"=38")</f>
        <v>0</v>
      </c>
    </row>
    <row r="32" spans="1:22" s="13" customFormat="1" ht="12.6" customHeight="1">
      <c r="A32" s="256">
        <v>4</v>
      </c>
      <c r="B32" s="54" t="s">
        <v>3583</v>
      </c>
      <c r="C32" s="53">
        <f t="shared" si="3"/>
        <v>63216</v>
      </c>
      <c r="D32" s="56">
        <f>+D33+D34+D35+D36+D37</f>
        <v>7227</v>
      </c>
      <c r="E32" s="56">
        <f t="shared" ref="E32:V32" si="4">+E33+E34+E35+E36+E37</f>
        <v>0</v>
      </c>
      <c r="F32" s="56">
        <f t="shared" si="4"/>
        <v>8672</v>
      </c>
      <c r="G32" s="56">
        <f t="shared" si="4"/>
        <v>0</v>
      </c>
      <c r="H32" s="56">
        <f t="shared" si="4"/>
        <v>45213</v>
      </c>
      <c r="I32" s="56">
        <f t="shared" si="4"/>
        <v>2006</v>
      </c>
      <c r="J32" s="56">
        <f t="shared" si="4"/>
        <v>0</v>
      </c>
      <c r="K32" s="56">
        <f t="shared" si="4"/>
        <v>0</v>
      </c>
      <c r="L32" s="56">
        <f t="shared" si="4"/>
        <v>0</v>
      </c>
      <c r="M32" s="56">
        <f t="shared" si="4"/>
        <v>0</v>
      </c>
      <c r="N32" s="56">
        <f t="shared" si="4"/>
        <v>0</v>
      </c>
      <c r="O32" s="56">
        <f t="shared" si="4"/>
        <v>0</v>
      </c>
      <c r="P32" s="56">
        <f t="shared" si="4"/>
        <v>0</v>
      </c>
      <c r="Q32" s="56">
        <f t="shared" si="4"/>
        <v>0</v>
      </c>
      <c r="R32" s="56">
        <f t="shared" si="4"/>
        <v>0</v>
      </c>
      <c r="S32" s="56">
        <f t="shared" si="4"/>
        <v>0</v>
      </c>
      <c r="T32" s="56">
        <f t="shared" si="4"/>
        <v>0</v>
      </c>
      <c r="U32" s="56">
        <f t="shared" si="4"/>
        <v>98</v>
      </c>
      <c r="V32" s="56">
        <f t="shared" si="4"/>
        <v>0</v>
      </c>
    </row>
    <row r="33" spans="1:22" s="8" customFormat="1" ht="12.6" customHeight="1">
      <c r="A33" s="254">
        <v>41</v>
      </c>
      <c r="B33" s="7" t="s">
        <v>3584</v>
      </c>
      <c r="C33" s="58">
        <f t="shared" si="3"/>
        <v>0</v>
      </c>
      <c r="D33" s="61">
        <f>SUMIFS('Unos rashoda i izdataka'!$J$3:$J$498,'Unos rashoda i izdataka'!$C$3:$C$498,"=11",'Unos rashoda i izdataka'!$P$3:$P$498,"=41")+SUMIFS('Unos rashoda P4'!$H$3:$H$496,'Unos rashoda P4'!$A$3:$A$496,"=11",'Unos rashoda P4'!$S$3:$S$496,"=41")</f>
        <v>0</v>
      </c>
      <c r="E33" s="61">
        <f>SUMIFS('Unos rashoda i izdataka'!$J$3:$J$498,'Unos rashoda i izdataka'!$C$3:$C$498,"=12",'Unos rashoda i izdataka'!$P$3:$P$498,"=41")+SUMIFS('Unos rashoda P4'!$H$3:$H$496,'Unos rashoda P4'!$A$3:$A$496,"=12",'Unos rashoda P4'!$S$3:$S$496,"=41")</f>
        <v>0</v>
      </c>
      <c r="F33" s="61">
        <f>SUMIFS('Unos rashoda i izdataka'!$J$3:$J$498,'Unos rashoda i izdataka'!$C$3:$C$498,"=31",'Unos rashoda i izdataka'!$P$3:$P$498,"=41")+SUMIFS('Unos rashoda P4'!$H$3:$H$496,'Unos rashoda P4'!$A$3:$A$496,"=31",'Unos rashoda P4'!$S$3:$S$496,"=41")</f>
        <v>0</v>
      </c>
      <c r="G33" s="61">
        <f>SUMIFS('Unos rashoda i izdataka'!$J$3:$J$498,'Unos rashoda i izdataka'!$C$3:$C$498,"=41",'Unos rashoda i izdataka'!$P$3:$P$498,"=41")+SUMIFS('Unos rashoda P4'!$H$3:$H$496,'Unos rashoda P4'!$A$3:$A$496,"=41",'Unos rashoda P4'!$S$3:$S$496,"=41")</f>
        <v>0</v>
      </c>
      <c r="H33" s="61">
        <f>SUMIFS('Unos rashoda i izdataka'!$J$3:$J$498,'Unos rashoda i izdataka'!$C$3:$C$498,"=43",'Unos rashoda i izdataka'!$P$3:$P$498,"=41")+SUMIFS('Unos rashoda P4'!$H$3:$H$496,'Unos rashoda P4'!$A$3:$A$496,"=43",'Unos rashoda P4'!$S$3:$S$496,"=41")</f>
        <v>0</v>
      </c>
      <c r="I33" s="61">
        <f>SUMIFS('Unos rashoda i izdataka'!$J$3:$J$498,'Unos rashoda i izdataka'!$C$3:$C$498,"=51",'Unos rashoda i izdataka'!$P$3:$P$498,"=41")+SUMIFS('Unos rashoda P4'!$H$3:$H$496,'Unos rashoda P4'!$A$3:$A$496,"=51",'Unos rashoda P4'!$S$3:$S$496,"=41")</f>
        <v>0</v>
      </c>
      <c r="J33" s="61">
        <f>SUMIFS('Unos rashoda i izdataka'!$J$3:$J$498,'Unos rashoda i izdataka'!$C$3:$C$498,"=52",'Unos rashoda i izdataka'!$P$3:$P$498,"=41")+SUMIFS('Unos rashoda P4'!$H$3:$H$496,'Unos rashoda P4'!$A$3:$A$496,"=52",'Unos rashoda P4'!$S$3:$S$496,"=41")</f>
        <v>0</v>
      </c>
      <c r="K33" s="61">
        <f>SUMIFS('Unos rashoda i izdataka'!$J$3:$J$498,'Unos rashoda i izdataka'!$C$3:$C$498,"=552",'Unos rashoda i izdataka'!$P$3:$P$498,"=41")+SUMIFS('Unos rashoda P4'!$H$3:$H$496,'Unos rashoda P4'!$A$3:$A$496,"=552",'Unos rashoda P4'!$S$3:$S$496,"=41")</f>
        <v>0</v>
      </c>
      <c r="L33" s="61">
        <f>SUMIFS('Unos rashoda i izdataka'!$J$3:$J$498,'Unos rashoda i izdataka'!$C$3:$C$498,"=559",'Unos rashoda i izdataka'!$P$3:$P$498,"=41")+SUMIFS('Unos rashoda P4'!$H$3:$H$496,'Unos rashoda P4'!$A$3:$A$496,"=559",'Unos rashoda P4'!$S$3:$S$496,"=41")</f>
        <v>0</v>
      </c>
      <c r="M33" s="61">
        <f>SUMIFS('Unos rashoda i izdataka'!$J$3:$J$498,'Unos rashoda i izdataka'!$C$3:$C$498,"=561",'Unos rashoda i izdataka'!$P$3:$P$498,"=41")+SUMIFS('Unos rashoda P4'!$H$3:$H$496,'Unos rashoda P4'!$A$3:$A$496,"=561",'Unos rashoda P4'!$S$3:$S$496,"=41")</f>
        <v>0</v>
      </c>
      <c r="N33" s="61">
        <f>SUMIFS('Unos rashoda i izdataka'!$J$3:$J$498,'Unos rashoda i izdataka'!$C$3:$C$498,"=563",'Unos rashoda i izdataka'!$P$3:$P$498,"=41")+SUMIFS('Unos rashoda P4'!$H$3:$H$496,'Unos rashoda P4'!$A$3:$A$496,"=563",'Unos rashoda P4'!$S$3:$S$496,"=41")</f>
        <v>0</v>
      </c>
      <c r="O33" s="61">
        <f>SUMIFS('Unos rashoda i izdataka'!$J$3:$J$498,'Unos rashoda i izdataka'!$C$3:$C$498,"=573",'Unos rashoda i izdataka'!$P$3:$P$498,"=41")+SUMIFS('Unos rashoda P4'!$H$3:$H$496,'Unos rashoda P4'!$A$3:$A$496,"=573",'Unos rashoda P4'!$S$3:$S$496,"=41")</f>
        <v>0</v>
      </c>
      <c r="P33" s="61">
        <f>SUMIFS('Unos rashoda i izdataka'!$J$3:$J$498,'Unos rashoda i izdataka'!$C$3:$C$498,"=575",'Unos rashoda i izdataka'!$P$3:$P$498,"=41")+SUMIFS('Unos rashoda P4'!$H$3:$H$496,'Unos rashoda P4'!$A$3:$A$496,"=575",'Unos rashoda P4'!$S$3:$S$496,"=41")</f>
        <v>0</v>
      </c>
      <c r="Q33" s="61">
        <f>SUMIFS('Unos rashoda i izdataka'!$J$3:$J$498,'Unos rashoda i izdataka'!$Q$3:$Q$498,"=576",'Unos rashoda i izdataka'!$P$3:$P$498,"=41")+SUMIFS('Unos rashoda P4'!$H$3:$H$496,'Unos rashoda P4'!$A$3:$A$496,"=576",'Unos rashoda P4'!$S$3:$S$496,"=41")</f>
        <v>0</v>
      </c>
      <c r="R33" s="61">
        <f>SUMIFS('Unos rashoda i izdataka'!$J$3:$J$498,'Unos rashoda i izdataka'!$C$3:$C$498,"=581",'Unos rashoda i izdataka'!$P$3:$P$498,"=41")+SUMIFS('Unos rashoda P4'!$H$3:$H$496,'Unos rashoda P4'!$A$3:$A$496,"=581",'Unos rashoda P4'!$S$3:$S$496,"=41")</f>
        <v>0</v>
      </c>
      <c r="S33" s="61">
        <f>SUMIFS('Unos rashoda i izdataka'!$J$3:$J$498,'Unos rashoda i izdataka'!$C$3:$C$498,"=61",'Unos rashoda i izdataka'!$P$3:$P$498,"=41")+SUMIFS('Unos rashoda P4'!$H$3:$H$496,'Unos rashoda P4'!$A$3:$A$496,"=61",'Unos rashoda P4'!$S$3:$S$496,"=41")</f>
        <v>0</v>
      </c>
      <c r="T33" s="61">
        <f>SUMIFS('Unos rashoda i izdataka'!$J$3:$J$498,'Unos rashoda i izdataka'!$C$3:$C$498,"=63",'Unos rashoda i izdataka'!$P$3:$P$498,"=41")+SUMIFS('Unos rashoda P4'!$H$3:$H$496,'Unos rashoda P4'!$A$3:$A$496,"=63",'Unos rashoda P4'!$S$3:$S$496,"=41")</f>
        <v>0</v>
      </c>
      <c r="U33" s="61">
        <f>SUMIFS('Unos rashoda i izdataka'!$J$3:$J$498,'Unos rashoda i izdataka'!$C$3:$C$498,"=71",'Unos rashoda i izdataka'!$P$3:$P$498,"=41")+SUMIFS('Unos rashoda P4'!$H$3:$H$496,'Unos rashoda P4'!$A$3:$A$496,"=71",'Unos rashoda P4'!$S$3:$S$496,"=41")</f>
        <v>0</v>
      </c>
      <c r="V33" s="61">
        <f>SUMIFS('Unos rashoda i izdataka'!$J$3:$J$498,'Unos rashoda i izdataka'!$C$3:$C$498,"=81",'Unos rashoda i izdataka'!$P$3:$P$498,"=41")+SUMIFS('Unos rashoda P4'!$H$3:$H$496,'Unos rashoda P4'!$A$3:$A$496,"=81",'Unos rashoda P4'!$S$3:$S$496,"=41")</f>
        <v>0</v>
      </c>
    </row>
    <row r="34" spans="1:22" s="12" customFormat="1" ht="12.6" customHeight="1">
      <c r="A34" s="255">
        <v>42</v>
      </c>
      <c r="B34" s="9" t="s">
        <v>3585</v>
      </c>
      <c r="C34" s="58">
        <f t="shared" si="3"/>
        <v>63216</v>
      </c>
      <c r="D34" s="61">
        <f>SUMIFS('Unos rashoda i izdataka'!$J$3:$J$498,'Unos rashoda i izdataka'!$C$3:$C$498,"=11",'Unos rashoda i izdataka'!$P$3:$P$498,"=42")+SUMIFS('Unos rashoda P4'!$H$3:$H$496,'Unos rashoda P4'!$A$3:$A$496,"=11",'Unos rashoda P4'!$S$3:$S$496,"=42")</f>
        <v>7227</v>
      </c>
      <c r="E34" s="61">
        <f>SUMIFS('Unos rashoda i izdataka'!$J$3:$J$498,'Unos rashoda i izdataka'!$C$3:$C$498,"=12",'Unos rashoda i izdataka'!$P$3:$P$498,"=42")+SUMIFS('Unos rashoda P4'!$H$3:$H$496,'Unos rashoda P4'!$A$3:$A$496,"=12",'Unos rashoda P4'!$S$3:$S$496,"=42")</f>
        <v>0</v>
      </c>
      <c r="F34" s="61">
        <f>SUMIFS('Unos rashoda i izdataka'!$J$3:$J$498,'Unos rashoda i izdataka'!$C$3:$C$498,"=31",'Unos rashoda i izdataka'!$P$3:$P$498,"=42")+SUMIFS('Unos rashoda P4'!$H$3:$H$496,'Unos rashoda P4'!$A$3:$A$496,"=31",'Unos rashoda P4'!$S$3:$S$496,"=42")</f>
        <v>8672</v>
      </c>
      <c r="G34" s="61">
        <f>SUMIFS('Unos rashoda i izdataka'!$J$3:$J$498,'Unos rashoda i izdataka'!$C$3:$C$498,"=41",'Unos rashoda i izdataka'!$P$3:$P$498,"=42")+SUMIFS('Unos rashoda P4'!$H$3:$H$496,'Unos rashoda P4'!$A$3:$A$496,"=41",'Unos rashoda P4'!$S$3:$S$496,"=42")</f>
        <v>0</v>
      </c>
      <c r="H34" s="61">
        <f>SUMIFS('Unos rashoda i izdataka'!$J$3:$J$498,'Unos rashoda i izdataka'!$C$3:$C$498,"=43",'Unos rashoda i izdataka'!$P$3:$P$498,"=42")+SUMIFS('Unos rashoda P4'!$H$3:$H$496,'Unos rashoda P4'!$A$3:$A$496,"=43",'Unos rashoda P4'!$S$3:$S$496,"=42")</f>
        <v>45213</v>
      </c>
      <c r="I34" s="61">
        <f>SUMIFS('Unos rashoda i izdataka'!$J$3:$J$498,'Unos rashoda i izdataka'!$C$3:$C$498,"=51",'Unos rashoda i izdataka'!$P$3:$P$498,"=42")+SUMIFS('Unos rashoda P4'!$H$3:$H$496,'Unos rashoda P4'!$A$3:$A$496,"=51",'Unos rashoda P4'!$S$3:$S$496,"=42")</f>
        <v>2006</v>
      </c>
      <c r="J34" s="61">
        <f>SUMIFS('Unos rashoda i izdataka'!$J$3:$J$498,'Unos rashoda i izdataka'!$C$3:$C$498,"=52",'Unos rashoda i izdataka'!$P$3:$P$498,"=42")+SUMIFS('Unos rashoda P4'!$H$3:$H$496,'Unos rashoda P4'!$A$3:$A$496,"=52",'Unos rashoda P4'!$S$3:$S$496,"=42")</f>
        <v>0</v>
      </c>
      <c r="K34" s="61">
        <f>SUMIFS('Unos rashoda i izdataka'!$J$3:$J$498,'Unos rashoda i izdataka'!$C$3:$C$498,"=552",'Unos rashoda i izdataka'!$P$3:$P$498,"=42")+SUMIFS('Unos rashoda P4'!$H$3:$H$496,'Unos rashoda P4'!$A$3:$A$496,"=552",'Unos rashoda P4'!$S$3:$S$496,"=42")</f>
        <v>0</v>
      </c>
      <c r="L34" s="61">
        <f>SUMIFS('Unos rashoda i izdataka'!$J$3:$J$498,'Unos rashoda i izdataka'!$C$3:$C$498,"=559",'Unos rashoda i izdataka'!$P$3:$P$498,"=42")+SUMIFS('Unos rashoda P4'!$H$3:$H$496,'Unos rashoda P4'!$A$3:$A$496,"=559",'Unos rashoda P4'!$S$3:$S$496,"=42")</f>
        <v>0</v>
      </c>
      <c r="M34" s="61">
        <f>SUMIFS('Unos rashoda i izdataka'!$J$3:$J$498,'Unos rashoda i izdataka'!$C$3:$C$498,"=561",'Unos rashoda i izdataka'!$P$3:$P$498,"=42")+SUMIFS('Unos rashoda P4'!$H$3:$H$496,'Unos rashoda P4'!$A$3:$A$496,"=561",'Unos rashoda P4'!$S$3:$S$496,"=42")</f>
        <v>0</v>
      </c>
      <c r="N34" s="61">
        <f>SUMIFS('Unos rashoda i izdataka'!$J$3:$J$498,'Unos rashoda i izdataka'!$C$3:$C$498,"=563",'Unos rashoda i izdataka'!$P$3:$P$498,"=42")+SUMIFS('Unos rashoda P4'!$H$3:$H$496,'Unos rashoda P4'!$A$3:$A$496,"=563",'Unos rashoda P4'!$S$3:$S$496,"=42")</f>
        <v>0</v>
      </c>
      <c r="O34" s="61">
        <f>SUMIFS('Unos rashoda i izdataka'!$J$3:$J$498,'Unos rashoda i izdataka'!$C$3:$C$498,"=573",'Unos rashoda i izdataka'!$P$3:$P$498,"=42")+SUMIFS('Unos rashoda P4'!$H$3:$H$496,'Unos rashoda P4'!$A$3:$A$496,"=573",'Unos rashoda P4'!$S$3:$S$496,"=42")</f>
        <v>0</v>
      </c>
      <c r="P34" s="61">
        <f>SUMIFS('Unos rashoda i izdataka'!$J$3:$J$498,'Unos rashoda i izdataka'!$C$3:$C$498,"=575",'Unos rashoda i izdataka'!$P$3:$P$498,"=42")+SUMIFS('Unos rashoda P4'!$H$3:$H$496,'Unos rashoda P4'!$A$3:$A$496,"=575",'Unos rashoda P4'!$S$3:$S$496,"=42")</f>
        <v>0</v>
      </c>
      <c r="Q34" s="61">
        <f>SUMIFS('Unos rashoda i izdataka'!$J$3:$J$498,'Unos rashoda i izdataka'!$Q$3:$Q$498,"=576",'Unos rashoda i izdataka'!$P$3:$P$498,"=42")+SUMIFS('Unos rashoda P4'!$H$3:$H$496,'Unos rashoda P4'!$A$3:$A$496,"=576",'Unos rashoda P4'!$S$3:$S$496,"=42")</f>
        <v>0</v>
      </c>
      <c r="R34" s="61">
        <f>SUMIFS('Unos rashoda i izdataka'!$J$3:$J$498,'Unos rashoda i izdataka'!$C$3:$C$498,"=581",'Unos rashoda i izdataka'!$P$3:$P$498,"=42")+SUMIFS('Unos rashoda P4'!$H$3:$H$496,'Unos rashoda P4'!$A$3:$A$496,"=581",'Unos rashoda P4'!$S$3:$S$496,"=42")</f>
        <v>0</v>
      </c>
      <c r="S34" s="61">
        <f>SUMIFS('Unos rashoda i izdataka'!$J$3:$J$498,'Unos rashoda i izdataka'!$C$3:$C$498,"=61",'Unos rashoda i izdataka'!$P$3:$P$498,"=42")+SUMIFS('Unos rashoda P4'!$H$3:$H$496,'Unos rashoda P4'!$A$3:$A$496,"=61",'Unos rashoda P4'!$S$3:$S$496,"=42")</f>
        <v>0</v>
      </c>
      <c r="T34" s="61">
        <f>SUMIFS('Unos rashoda i izdataka'!$J$3:$J$498,'Unos rashoda i izdataka'!$C$3:$C$498,"=63",'Unos rashoda i izdataka'!$P$3:$P$498,"=42")+SUMIFS('Unos rashoda P4'!$H$3:$H$496,'Unos rashoda P4'!$A$3:$A$496,"=63",'Unos rashoda P4'!$S$3:$S$496,"=42")</f>
        <v>0</v>
      </c>
      <c r="U34" s="61">
        <f>SUMIFS('Unos rashoda i izdataka'!$J$3:$J$498,'Unos rashoda i izdataka'!$C$3:$C$498,"=71",'Unos rashoda i izdataka'!$P$3:$P$498,"=42")+SUMIFS('Unos rashoda P4'!$H$3:$H$496,'Unos rashoda P4'!$A$3:$A$496,"=71",'Unos rashoda P4'!$S$3:$S$496,"=42")</f>
        <v>98</v>
      </c>
      <c r="V34" s="61">
        <f>SUMIFS('Unos rashoda i izdataka'!$J$3:$J$498,'Unos rashoda i izdataka'!$C$3:$C$498,"=81",'Unos rashoda i izdataka'!$P$3:$P$498,"=42")+SUMIFS('Unos rashoda P4'!$H$3:$H$496,'Unos rashoda P4'!$A$3:$A$496,"=81",'Unos rashoda P4'!$S$3:$S$496,"=42")</f>
        <v>0</v>
      </c>
    </row>
    <row r="35" spans="1:22" s="8" customFormat="1" ht="12.6" customHeight="1">
      <c r="A35" s="254">
        <v>43</v>
      </c>
      <c r="B35" s="7" t="s">
        <v>3586</v>
      </c>
      <c r="C35" s="58">
        <f t="shared" si="3"/>
        <v>0</v>
      </c>
      <c r="D35" s="61">
        <f>SUMIFS('Unos rashoda i izdataka'!$J$3:$J$498,'Unos rashoda i izdataka'!$C$3:$C$498,"=11",'Unos rashoda i izdataka'!$P$3:$P$498,"=43")+SUMIFS('Unos rashoda P4'!$H$3:$H$496,'Unos rashoda P4'!$A$3:$A$496,"=11",'Unos rashoda P4'!$S$3:$S$496,"=43")</f>
        <v>0</v>
      </c>
      <c r="E35" s="61">
        <f>SUMIFS('Unos rashoda i izdataka'!$J$3:$J$498,'Unos rashoda i izdataka'!$C$3:$C$498,"=12",'Unos rashoda i izdataka'!$P$3:$P$498,"=43")+SUMIFS('Unos rashoda P4'!$H$3:$H$496,'Unos rashoda P4'!$A$3:$A$496,"=12",'Unos rashoda P4'!$S$3:$S$496,"=43")</f>
        <v>0</v>
      </c>
      <c r="F35" s="61">
        <f>SUMIFS('Unos rashoda i izdataka'!$J$3:$J$498,'Unos rashoda i izdataka'!$C$3:$C$498,"=31",'Unos rashoda i izdataka'!$P$3:$P$498,"=43")+SUMIFS('Unos rashoda P4'!$H$3:$H$496,'Unos rashoda P4'!$A$3:$A$496,"=31",'Unos rashoda P4'!$S$3:$S$496,"=43")</f>
        <v>0</v>
      </c>
      <c r="G35" s="61">
        <f>SUMIFS('Unos rashoda i izdataka'!$J$3:$J$498,'Unos rashoda i izdataka'!$C$3:$C$498,"=41",'Unos rashoda i izdataka'!$P$3:$P$498,"=43")+SUMIFS('Unos rashoda P4'!$H$3:$H$496,'Unos rashoda P4'!$A$3:$A$496,"=41",'Unos rashoda P4'!$S$3:$S$496,"=43")</f>
        <v>0</v>
      </c>
      <c r="H35" s="61">
        <f>SUMIFS('Unos rashoda i izdataka'!$J$3:$J$498,'Unos rashoda i izdataka'!$C$3:$C$498,"=43",'Unos rashoda i izdataka'!$P$3:$P$498,"=43")+SUMIFS('Unos rashoda P4'!$H$3:$H$496,'Unos rashoda P4'!$A$3:$A$496,"=43",'Unos rashoda P4'!$S$3:$S$496,"=43")</f>
        <v>0</v>
      </c>
      <c r="I35" s="61">
        <f>SUMIFS('Unos rashoda i izdataka'!$J$3:$J$498,'Unos rashoda i izdataka'!$C$3:$C$498,"=51",'Unos rashoda i izdataka'!$P$3:$P$498,"=43")+SUMIFS('Unos rashoda P4'!$H$3:$H$496,'Unos rashoda P4'!$A$3:$A$496,"=51",'Unos rashoda P4'!$S$3:$S$496,"=43")</f>
        <v>0</v>
      </c>
      <c r="J35" s="61">
        <f>SUMIFS('Unos rashoda i izdataka'!$J$3:$J$498,'Unos rashoda i izdataka'!$C$3:$C$498,"=52",'Unos rashoda i izdataka'!$P$3:$P$498,"=43")+SUMIFS('Unos rashoda P4'!$H$3:$H$496,'Unos rashoda P4'!$A$3:$A$496,"=52",'Unos rashoda P4'!$S$3:$S$496,"=43")</f>
        <v>0</v>
      </c>
      <c r="K35" s="61">
        <f>SUMIFS('Unos rashoda i izdataka'!$J$3:$J$498,'Unos rashoda i izdataka'!$C$3:$C$498,"=552",'Unos rashoda i izdataka'!$P$3:$P$498,"=43")+SUMIFS('Unos rashoda P4'!$H$3:$H$496,'Unos rashoda P4'!$A$3:$A$496,"=552",'Unos rashoda P4'!$S$3:$S$496,"=43")</f>
        <v>0</v>
      </c>
      <c r="L35" s="61">
        <f>SUMIFS('Unos rashoda i izdataka'!$J$3:$J$498,'Unos rashoda i izdataka'!$C$3:$C$498,"=559",'Unos rashoda i izdataka'!$P$3:$P$498,"=43")+SUMIFS('Unos rashoda P4'!$H$3:$H$496,'Unos rashoda P4'!$A$3:$A$496,"=559",'Unos rashoda P4'!$S$3:$S$496,"=43")</f>
        <v>0</v>
      </c>
      <c r="M35" s="61">
        <f>SUMIFS('Unos rashoda i izdataka'!$J$3:$J$498,'Unos rashoda i izdataka'!$C$3:$C$498,"=561",'Unos rashoda i izdataka'!$P$3:$P$498,"=43")+SUMIFS('Unos rashoda P4'!$H$3:$H$496,'Unos rashoda P4'!$A$3:$A$496,"=561",'Unos rashoda P4'!$S$3:$S$496,"=43")</f>
        <v>0</v>
      </c>
      <c r="N35" s="61">
        <f>SUMIFS('Unos rashoda i izdataka'!$J$3:$J$498,'Unos rashoda i izdataka'!$C$3:$C$498,"=563",'Unos rashoda i izdataka'!$P$3:$P$498,"=43")+SUMIFS('Unos rashoda P4'!$H$3:$H$496,'Unos rashoda P4'!$A$3:$A$496,"=563",'Unos rashoda P4'!$S$3:$S$496,"=43")</f>
        <v>0</v>
      </c>
      <c r="O35" s="61">
        <f>SUMIFS('Unos rashoda i izdataka'!$J$3:$J$498,'Unos rashoda i izdataka'!$C$3:$C$498,"=573",'Unos rashoda i izdataka'!$P$3:$P$498,"=43")+SUMIFS('Unos rashoda P4'!$H$3:$H$496,'Unos rashoda P4'!$A$3:$A$496,"=573",'Unos rashoda P4'!$S$3:$S$496,"=43")</f>
        <v>0</v>
      </c>
      <c r="P35" s="61">
        <f>SUMIFS('Unos rashoda i izdataka'!$J$3:$J$498,'Unos rashoda i izdataka'!$C$3:$C$498,"=575",'Unos rashoda i izdataka'!$P$3:$P$498,"=43")+SUMIFS('Unos rashoda P4'!$H$3:$H$496,'Unos rashoda P4'!$A$3:$A$496,"=575",'Unos rashoda P4'!$S$3:$S$496,"=43")</f>
        <v>0</v>
      </c>
      <c r="Q35" s="61">
        <f>SUMIFS('Unos rashoda i izdataka'!$J$3:$J$498,'Unos rashoda i izdataka'!$Q$3:$Q$498,"=576",'Unos rashoda i izdataka'!$P$3:$P$498,"=43")+SUMIFS('Unos rashoda P4'!$H$3:$H$496,'Unos rashoda P4'!$A$3:$A$496,"=576",'Unos rashoda P4'!$S$3:$S$496,"=43")</f>
        <v>0</v>
      </c>
      <c r="R35" s="61">
        <f>SUMIFS('Unos rashoda i izdataka'!$J$3:$J$498,'Unos rashoda i izdataka'!$C$3:$C$498,"=581",'Unos rashoda i izdataka'!$P$3:$P$498,"=43")+SUMIFS('Unos rashoda P4'!$H$3:$H$496,'Unos rashoda P4'!$A$3:$A$496,"=581",'Unos rashoda P4'!$S$3:$S$496,"=43")</f>
        <v>0</v>
      </c>
      <c r="S35" s="61">
        <f>SUMIFS('Unos rashoda i izdataka'!$J$3:$J$498,'Unos rashoda i izdataka'!$C$3:$C$498,"=61",'Unos rashoda i izdataka'!$P$3:$P$498,"=43")+SUMIFS('Unos rashoda P4'!$H$3:$H$496,'Unos rashoda P4'!$A$3:$A$496,"=61",'Unos rashoda P4'!$S$3:$S$496,"=43")</f>
        <v>0</v>
      </c>
      <c r="T35" s="61">
        <f>SUMIFS('Unos rashoda i izdataka'!$J$3:$J$498,'Unos rashoda i izdataka'!$C$3:$C$498,"=63",'Unos rashoda i izdataka'!$P$3:$P$498,"=43")+SUMIFS('Unos rashoda P4'!$H$3:$H$496,'Unos rashoda P4'!$A$3:$A$496,"=63",'Unos rashoda P4'!$S$3:$S$496,"=43")</f>
        <v>0</v>
      </c>
      <c r="U35" s="61">
        <f>SUMIFS('Unos rashoda i izdataka'!$J$3:$J$498,'Unos rashoda i izdataka'!$C$3:$C$498,"=71",'Unos rashoda i izdataka'!$P$3:$P$498,"=43")+SUMIFS('Unos rashoda P4'!$H$3:$H$496,'Unos rashoda P4'!$A$3:$A$496,"=71",'Unos rashoda P4'!$S$3:$S$496,"=43")</f>
        <v>0</v>
      </c>
      <c r="V35" s="61">
        <f>SUMIFS('Unos rashoda i izdataka'!$J$3:$J$498,'Unos rashoda i izdataka'!$C$3:$C$498,"=81",'Unos rashoda i izdataka'!$P$3:$P$498,"=43")+SUMIFS('Unos rashoda P4'!$H$3:$H$496,'Unos rashoda P4'!$A$3:$A$496,"=81",'Unos rashoda P4'!$S$3:$S$496,"=43")</f>
        <v>0</v>
      </c>
    </row>
    <row r="36" spans="1:22" s="8" customFormat="1" ht="12.6" customHeight="1">
      <c r="A36" s="254">
        <v>44</v>
      </c>
      <c r="B36" s="7" t="s">
        <v>3587</v>
      </c>
      <c r="C36" s="58">
        <f t="shared" si="3"/>
        <v>0</v>
      </c>
      <c r="D36" s="61">
        <f>SUMIFS('Unos rashoda i izdataka'!$J$3:$J$498,'Unos rashoda i izdataka'!$C$3:$C$498,"=11",'Unos rashoda i izdataka'!$P$3:$P$498,"=44")+SUMIFS('Unos rashoda P4'!$H$3:$H$496,'Unos rashoda P4'!$A$3:$A$496,"=11",'Unos rashoda P4'!$S$3:$S$496,"=44")</f>
        <v>0</v>
      </c>
      <c r="E36" s="61">
        <f>SUMIFS('Unos rashoda i izdataka'!$J$3:$J$498,'Unos rashoda i izdataka'!$C$3:$C$498,"=12",'Unos rashoda i izdataka'!$P$3:$P$498,"=44")+SUMIFS('Unos rashoda P4'!$H$3:$H$496,'Unos rashoda P4'!$A$3:$A$496,"=12",'Unos rashoda P4'!$S$3:$S$496,"=44")</f>
        <v>0</v>
      </c>
      <c r="F36" s="61">
        <f>SUMIFS('Unos rashoda i izdataka'!$J$3:$J$498,'Unos rashoda i izdataka'!$C$3:$C$498,"=31",'Unos rashoda i izdataka'!$P$3:$P$498,"=44")+SUMIFS('Unos rashoda P4'!$H$3:$H$496,'Unos rashoda P4'!$A$3:$A$496,"=31",'Unos rashoda P4'!$S$3:$S$496,"=44")</f>
        <v>0</v>
      </c>
      <c r="G36" s="61">
        <f>SUMIFS('Unos rashoda i izdataka'!$J$3:$J$498,'Unos rashoda i izdataka'!$C$3:$C$498,"=41",'Unos rashoda i izdataka'!$P$3:$P$498,"=44")+SUMIFS('Unos rashoda P4'!$H$3:$H$496,'Unos rashoda P4'!$A$3:$A$496,"=41",'Unos rashoda P4'!$S$3:$S$496,"=44")</f>
        <v>0</v>
      </c>
      <c r="H36" s="61">
        <f>SUMIFS('Unos rashoda i izdataka'!$J$3:$J$498,'Unos rashoda i izdataka'!$C$3:$C$498,"=43",'Unos rashoda i izdataka'!$P$3:$P$498,"=44")+SUMIFS('Unos rashoda P4'!$H$3:$H$496,'Unos rashoda P4'!$A$3:$A$496,"=43",'Unos rashoda P4'!$S$3:$S$496,"=44")</f>
        <v>0</v>
      </c>
      <c r="I36" s="61">
        <f>SUMIFS('Unos rashoda i izdataka'!$J$3:$J$498,'Unos rashoda i izdataka'!$C$3:$C$498,"=51",'Unos rashoda i izdataka'!$P$3:$P$498,"=44")+SUMIFS('Unos rashoda P4'!$H$3:$H$496,'Unos rashoda P4'!$A$3:$A$496,"=51",'Unos rashoda P4'!$S$3:$S$496,"=44")</f>
        <v>0</v>
      </c>
      <c r="J36" s="61">
        <f>SUMIFS('Unos rashoda i izdataka'!$J$3:$J$498,'Unos rashoda i izdataka'!$C$3:$C$498,"=52",'Unos rashoda i izdataka'!$P$3:$P$498,"=44")+SUMIFS('Unos rashoda P4'!$H$3:$H$496,'Unos rashoda P4'!$A$3:$A$496,"=52",'Unos rashoda P4'!$S$3:$S$496,"=44")</f>
        <v>0</v>
      </c>
      <c r="K36" s="61">
        <f>SUMIFS('Unos rashoda i izdataka'!$J$3:$J$498,'Unos rashoda i izdataka'!$C$3:$C$498,"=552",'Unos rashoda i izdataka'!$P$3:$P$498,"=44")+SUMIFS('Unos rashoda P4'!$H$3:$H$496,'Unos rashoda P4'!$A$3:$A$496,"=552",'Unos rashoda P4'!$S$3:$S$496,"=44")</f>
        <v>0</v>
      </c>
      <c r="L36" s="61">
        <f>SUMIFS('Unos rashoda i izdataka'!$J$3:$J$498,'Unos rashoda i izdataka'!$C$3:$C$498,"=559",'Unos rashoda i izdataka'!$P$3:$P$498,"=44")+SUMIFS('Unos rashoda P4'!$H$3:$H$496,'Unos rashoda P4'!$A$3:$A$496,"=559",'Unos rashoda P4'!$S$3:$S$496,"=44")</f>
        <v>0</v>
      </c>
      <c r="M36" s="61">
        <f>SUMIFS('Unos rashoda i izdataka'!$J$3:$J$498,'Unos rashoda i izdataka'!$C$3:$C$498,"=561",'Unos rashoda i izdataka'!$P$3:$P$498,"=44")+SUMIFS('Unos rashoda P4'!$H$3:$H$496,'Unos rashoda P4'!$A$3:$A$496,"=561",'Unos rashoda P4'!$S$3:$S$496,"=44")</f>
        <v>0</v>
      </c>
      <c r="N36" s="61">
        <f>SUMIFS('Unos rashoda i izdataka'!$J$3:$J$498,'Unos rashoda i izdataka'!$C$3:$C$498,"=563",'Unos rashoda i izdataka'!$P$3:$P$498,"=44")+SUMIFS('Unos rashoda P4'!$H$3:$H$496,'Unos rashoda P4'!$A$3:$A$496,"=563",'Unos rashoda P4'!$S$3:$S$496,"=44")</f>
        <v>0</v>
      </c>
      <c r="O36" s="61">
        <f>SUMIFS('Unos rashoda i izdataka'!$J$3:$J$498,'Unos rashoda i izdataka'!$C$3:$C$498,"=573",'Unos rashoda i izdataka'!$P$3:$P$498,"=44")+SUMIFS('Unos rashoda P4'!$H$3:$H$496,'Unos rashoda P4'!$A$3:$A$496,"=573",'Unos rashoda P4'!$S$3:$S$496,"=44")</f>
        <v>0</v>
      </c>
      <c r="P36" s="61">
        <f>SUMIFS('Unos rashoda i izdataka'!$J$3:$J$498,'Unos rashoda i izdataka'!$C$3:$C$498,"=575",'Unos rashoda i izdataka'!$P$3:$P$498,"=44")+SUMIFS('Unos rashoda P4'!$H$3:$H$496,'Unos rashoda P4'!$A$3:$A$496,"=575",'Unos rashoda P4'!$S$3:$S$496,"=44")</f>
        <v>0</v>
      </c>
      <c r="Q36" s="61">
        <f>SUMIFS('Unos rashoda i izdataka'!$J$3:$J$498,'Unos rashoda i izdataka'!$Q$3:$Q$498,"=576",'Unos rashoda i izdataka'!$P$3:$P$498,"=44")+SUMIFS('Unos rashoda P4'!$H$3:$H$496,'Unos rashoda P4'!$A$3:$A$496,"=576",'Unos rashoda P4'!$S$3:$S$496,"=44")</f>
        <v>0</v>
      </c>
      <c r="R36" s="61">
        <f>SUMIFS('Unos rashoda i izdataka'!$J$3:$J$498,'Unos rashoda i izdataka'!$C$3:$C$498,"=581",'Unos rashoda i izdataka'!$P$3:$P$498,"=44")+SUMIFS('Unos rashoda P4'!$H$3:$H$496,'Unos rashoda P4'!$A$3:$A$496,"=581",'Unos rashoda P4'!$S$3:$S$496,"=44")</f>
        <v>0</v>
      </c>
      <c r="S36" s="61">
        <f>SUMIFS('Unos rashoda i izdataka'!$J$3:$J$498,'Unos rashoda i izdataka'!$C$3:$C$498,"=61",'Unos rashoda i izdataka'!$P$3:$P$498,"=44")+SUMIFS('Unos rashoda P4'!$H$3:$H$496,'Unos rashoda P4'!$A$3:$A$496,"=61",'Unos rashoda P4'!$S$3:$S$496,"=44")</f>
        <v>0</v>
      </c>
      <c r="T36" s="61">
        <f>SUMIFS('Unos rashoda i izdataka'!$J$3:$J$498,'Unos rashoda i izdataka'!$C$3:$C$498,"=63",'Unos rashoda i izdataka'!$P$3:$P$498,"=44")+SUMIFS('Unos rashoda P4'!$H$3:$H$496,'Unos rashoda P4'!$A$3:$A$496,"=63",'Unos rashoda P4'!$S$3:$S$496,"=44")</f>
        <v>0</v>
      </c>
      <c r="U36" s="61">
        <f>SUMIFS('Unos rashoda i izdataka'!$J$3:$J$498,'Unos rashoda i izdataka'!$C$3:$C$498,"=71",'Unos rashoda i izdataka'!$P$3:$P$498,"=44")+SUMIFS('Unos rashoda P4'!$H$3:$H$496,'Unos rashoda P4'!$A$3:$A$496,"=71",'Unos rashoda P4'!$S$3:$S$496,"=44")</f>
        <v>0</v>
      </c>
      <c r="V36" s="61">
        <f>SUMIFS('Unos rashoda i izdataka'!$J$3:$J$498,'Unos rashoda i izdataka'!$C$3:$C$498,"=81",'Unos rashoda i izdataka'!$P$3:$P$498,"=44")+SUMIFS('Unos rashoda P4'!$H$3:$H$496,'Unos rashoda P4'!$A$3:$A$496,"=81",'Unos rashoda P4'!$S$3:$S$496,"=44")</f>
        <v>0</v>
      </c>
    </row>
    <row r="37" spans="1:22" s="12" customFormat="1" ht="12.6" customHeight="1">
      <c r="A37" s="255">
        <v>45</v>
      </c>
      <c r="B37" s="9" t="s">
        <v>3588</v>
      </c>
      <c r="C37" s="58">
        <f t="shared" si="3"/>
        <v>0</v>
      </c>
      <c r="D37" s="61">
        <f>SUMIFS('Unos rashoda i izdataka'!$J$3:$J$498,'Unos rashoda i izdataka'!$C$3:$C$498,"=11",'Unos rashoda i izdataka'!$P$3:$P$498,"=45")+SUMIFS('Unos rashoda P4'!$H$3:$H$496,'Unos rashoda P4'!$A$3:$A$496,"=11",'Unos rashoda P4'!$S$3:$S$496,"=45")</f>
        <v>0</v>
      </c>
      <c r="E37" s="61">
        <f>SUMIFS('Unos rashoda i izdataka'!$J$3:$J$498,'Unos rashoda i izdataka'!$C$3:$C$498,"=12",'Unos rashoda i izdataka'!$P$3:$P$498,"=45")+SUMIFS('Unos rashoda P4'!$H$3:$H$496,'Unos rashoda P4'!$A$3:$A$496,"=12",'Unos rashoda P4'!$S$3:$S$496,"=45")</f>
        <v>0</v>
      </c>
      <c r="F37" s="61">
        <f>SUMIFS('Unos rashoda i izdataka'!$J$3:$J$498,'Unos rashoda i izdataka'!$C$3:$C$498,"=31",'Unos rashoda i izdataka'!$P$3:$P$498,"=45")+SUMIFS('Unos rashoda P4'!$H$3:$H$496,'Unos rashoda P4'!$A$3:$A$496,"=31",'Unos rashoda P4'!$S$3:$S$496,"=45")</f>
        <v>0</v>
      </c>
      <c r="G37" s="61">
        <f>SUMIFS('Unos rashoda i izdataka'!$J$3:$J$498,'Unos rashoda i izdataka'!$C$3:$C$498,"=41",'Unos rashoda i izdataka'!$P$3:$P$498,"=45")+SUMIFS('Unos rashoda P4'!$H$3:$H$496,'Unos rashoda P4'!$A$3:$A$496,"=41",'Unos rashoda P4'!$S$3:$S$496,"=45")</f>
        <v>0</v>
      </c>
      <c r="H37" s="61">
        <f>SUMIFS('Unos rashoda i izdataka'!$J$3:$J$498,'Unos rashoda i izdataka'!$C$3:$C$498,"=43",'Unos rashoda i izdataka'!$P$3:$P$498,"=45")+SUMIFS('Unos rashoda P4'!$H$3:$H$496,'Unos rashoda P4'!$A$3:$A$496,"=43",'Unos rashoda P4'!$S$3:$S$496,"=45")</f>
        <v>0</v>
      </c>
      <c r="I37" s="61">
        <f>SUMIFS('Unos rashoda i izdataka'!$J$3:$J$498,'Unos rashoda i izdataka'!$C$3:$C$498,"=51",'Unos rashoda i izdataka'!$P$3:$P$498,"=45")+SUMIFS('Unos rashoda P4'!$H$3:$H$496,'Unos rashoda P4'!$A$3:$A$496,"=51",'Unos rashoda P4'!$S$3:$S$496,"=45")</f>
        <v>0</v>
      </c>
      <c r="J37" s="61">
        <f>SUMIFS('Unos rashoda i izdataka'!$J$3:$J$498,'Unos rashoda i izdataka'!$C$3:$C$498,"=52",'Unos rashoda i izdataka'!$P$3:$P$498,"=45")+SUMIFS('Unos rashoda P4'!$H$3:$H$496,'Unos rashoda P4'!$A$3:$A$496,"=52",'Unos rashoda P4'!$S$3:$S$496,"=45")</f>
        <v>0</v>
      </c>
      <c r="K37" s="61">
        <f>SUMIFS('Unos rashoda i izdataka'!$J$3:$J$498,'Unos rashoda i izdataka'!$C$3:$C$498,"=552",'Unos rashoda i izdataka'!$P$3:$P$498,"=45")+SUMIFS('Unos rashoda P4'!$H$3:$H$496,'Unos rashoda P4'!$A$3:$A$496,"=552",'Unos rashoda P4'!$S$3:$S$496,"=45")</f>
        <v>0</v>
      </c>
      <c r="L37" s="61">
        <f>SUMIFS('Unos rashoda i izdataka'!$J$3:$J$498,'Unos rashoda i izdataka'!$C$3:$C$498,"=559",'Unos rashoda i izdataka'!$P$3:$P$498,"=45")+SUMIFS('Unos rashoda P4'!$H$3:$H$496,'Unos rashoda P4'!$A$3:$A$496,"=559",'Unos rashoda P4'!$S$3:$S$496,"=45")</f>
        <v>0</v>
      </c>
      <c r="M37" s="61">
        <f>SUMIFS('Unos rashoda i izdataka'!$J$3:$J$498,'Unos rashoda i izdataka'!$C$3:$C$498,"=561",'Unos rashoda i izdataka'!$P$3:$P$498,"=45")+SUMIFS('Unos rashoda P4'!$H$3:$H$496,'Unos rashoda P4'!$A$3:$A$496,"=561",'Unos rashoda P4'!$S$3:$S$496,"=45")</f>
        <v>0</v>
      </c>
      <c r="N37" s="61">
        <f>SUMIFS('Unos rashoda i izdataka'!$J$3:$J$498,'Unos rashoda i izdataka'!$C$3:$C$498,"=563",'Unos rashoda i izdataka'!$P$3:$P$498,"=45")+SUMIFS('Unos rashoda P4'!$H$3:$H$496,'Unos rashoda P4'!$A$3:$A$496,"=563",'Unos rashoda P4'!$S$3:$S$496,"=45")</f>
        <v>0</v>
      </c>
      <c r="O37" s="61">
        <f>SUMIFS('Unos rashoda i izdataka'!$J$3:$J$498,'Unos rashoda i izdataka'!$C$3:$C$498,"=573",'Unos rashoda i izdataka'!$P$3:$P$498,"=45")+SUMIFS('Unos rashoda P4'!$H$3:$H$496,'Unos rashoda P4'!$A$3:$A$496,"=573",'Unos rashoda P4'!$S$3:$S$496,"=45")</f>
        <v>0</v>
      </c>
      <c r="P37" s="61">
        <f>SUMIFS('Unos rashoda i izdataka'!$J$3:$J$498,'Unos rashoda i izdataka'!$C$3:$C$498,"=575",'Unos rashoda i izdataka'!$P$3:$P$498,"=45")+SUMIFS('Unos rashoda P4'!$H$3:$H$496,'Unos rashoda P4'!$A$3:$A$496,"=575",'Unos rashoda P4'!$S$3:$S$496,"=45")</f>
        <v>0</v>
      </c>
      <c r="Q37" s="61">
        <f>SUMIFS('Unos rashoda i izdataka'!$J$3:$J$498,'Unos rashoda i izdataka'!$Q$3:$Q$498,"=576",'Unos rashoda i izdataka'!$P$3:$P$498,"=45")+SUMIFS('Unos rashoda P4'!$H$3:$H$496,'Unos rashoda P4'!$A$3:$A$496,"=576",'Unos rashoda P4'!$S$3:$S$496,"=45")</f>
        <v>0</v>
      </c>
      <c r="R37" s="61">
        <f>SUMIFS('Unos rashoda i izdataka'!$J$3:$J$498,'Unos rashoda i izdataka'!$C$3:$C$498,"=581",'Unos rashoda i izdataka'!$P$3:$P$498,"=45")+SUMIFS('Unos rashoda P4'!$H$3:$H$496,'Unos rashoda P4'!$A$3:$A$496,"=581",'Unos rashoda P4'!$S$3:$S$496,"=45")</f>
        <v>0</v>
      </c>
      <c r="S37" s="61">
        <f>SUMIFS('Unos rashoda i izdataka'!$J$3:$J$498,'Unos rashoda i izdataka'!$C$3:$C$498,"=61",'Unos rashoda i izdataka'!$P$3:$P$498,"=45")+SUMIFS('Unos rashoda P4'!$H$3:$H$496,'Unos rashoda P4'!$A$3:$A$496,"=61",'Unos rashoda P4'!$S$3:$S$496,"=45")</f>
        <v>0</v>
      </c>
      <c r="T37" s="61">
        <f>SUMIFS('Unos rashoda i izdataka'!$J$3:$J$498,'Unos rashoda i izdataka'!$C$3:$C$498,"=63",'Unos rashoda i izdataka'!$P$3:$P$498,"=45")+SUMIFS('Unos rashoda P4'!$H$3:$H$496,'Unos rashoda P4'!$A$3:$A$496,"=63",'Unos rashoda P4'!$S$3:$S$496,"=45")</f>
        <v>0</v>
      </c>
      <c r="U37" s="61">
        <f>SUMIFS('Unos rashoda i izdataka'!$J$3:$J$498,'Unos rashoda i izdataka'!$C$3:$C$498,"=71",'Unos rashoda i izdataka'!$P$3:$P$498,"=45")+SUMIFS('Unos rashoda P4'!$H$3:$H$496,'Unos rashoda P4'!$A$3:$A$496,"=71",'Unos rashoda P4'!$S$3:$S$496,"=45")</f>
        <v>0</v>
      </c>
      <c r="V37" s="61">
        <f>SUMIFS('Unos rashoda i izdataka'!$J$3:$J$498,'Unos rashoda i izdataka'!$C$3:$C$498,"=81",'Unos rashoda i izdataka'!$P$3:$P$498,"=45")+SUMIFS('Unos rashoda P4'!$H$3:$H$496,'Unos rashoda P4'!$A$3:$A$496,"=81",'Unos rashoda P4'!$S$3:$S$496,"=45")</f>
        <v>0</v>
      </c>
    </row>
    <row r="38" spans="1:22" s="24" customFormat="1">
      <c r="A38" s="257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s="26" customFormat="1" ht="71.45" customHeight="1">
      <c r="A39" s="156" t="s">
        <v>3563</v>
      </c>
      <c r="B39" s="2" t="s">
        <v>3564</v>
      </c>
      <c r="C39" s="2" t="s">
        <v>3589</v>
      </c>
      <c r="D39" s="2" t="s">
        <v>3566</v>
      </c>
      <c r="E39" s="2" t="s">
        <v>3524</v>
      </c>
      <c r="F39" s="2" t="s">
        <v>3525</v>
      </c>
      <c r="G39" s="2" t="s">
        <v>3567</v>
      </c>
      <c r="H39" s="2" t="s">
        <v>3527</v>
      </c>
      <c r="I39" s="2" t="s">
        <v>3528</v>
      </c>
      <c r="J39" s="2" t="s">
        <v>3529</v>
      </c>
      <c r="K39" s="2" t="s">
        <v>3530</v>
      </c>
      <c r="L39" s="2" t="s">
        <v>3531</v>
      </c>
      <c r="M39" s="2" t="s">
        <v>3532</v>
      </c>
      <c r="N39" s="2" t="s">
        <v>3533</v>
      </c>
      <c r="O39" s="2" t="s">
        <v>3534</v>
      </c>
      <c r="P39" s="2" t="s">
        <v>3568</v>
      </c>
      <c r="Q39" s="2" t="s">
        <v>3569</v>
      </c>
      <c r="R39" s="2" t="s">
        <v>3537</v>
      </c>
      <c r="S39" s="2" t="s">
        <v>3538</v>
      </c>
      <c r="T39" s="2" t="s">
        <v>3539</v>
      </c>
      <c r="U39" s="2" t="s">
        <v>3570</v>
      </c>
      <c r="V39" s="2" t="s">
        <v>3571</v>
      </c>
    </row>
    <row r="40" spans="1:22" s="14" customFormat="1" ht="19.5" customHeight="1">
      <c r="A40" s="259">
        <v>2023</v>
      </c>
      <c r="B40" s="258" t="s">
        <v>63</v>
      </c>
      <c r="C40" s="47">
        <f t="shared" ref="C40:C54" si="5">SUM(D40:V40)</f>
        <v>8252204</v>
      </c>
      <c r="D40" s="48">
        <f t="shared" ref="D40:V40" si="6">+D41+D49</f>
        <v>4269463</v>
      </c>
      <c r="E40" s="48">
        <f t="shared" si="6"/>
        <v>0</v>
      </c>
      <c r="F40" s="48">
        <f t="shared" si="6"/>
        <v>241559</v>
      </c>
      <c r="G40" s="48">
        <f t="shared" si="6"/>
        <v>0</v>
      </c>
      <c r="H40" s="48">
        <f t="shared" si="6"/>
        <v>1744499</v>
      </c>
      <c r="I40" s="48">
        <f t="shared" si="6"/>
        <v>100216</v>
      </c>
      <c r="J40" s="48">
        <f t="shared" si="6"/>
        <v>1835140</v>
      </c>
      <c r="K40" s="48">
        <f t="shared" si="6"/>
        <v>0</v>
      </c>
      <c r="L40" s="48">
        <f t="shared" si="6"/>
        <v>0</v>
      </c>
      <c r="M40" s="48">
        <f t="shared" si="6"/>
        <v>0</v>
      </c>
      <c r="N40" s="48">
        <f t="shared" si="6"/>
        <v>0</v>
      </c>
      <c r="O40" s="48">
        <f t="shared" si="6"/>
        <v>0</v>
      </c>
      <c r="P40" s="48">
        <f t="shared" si="6"/>
        <v>0</v>
      </c>
      <c r="Q40" s="48">
        <f t="shared" si="6"/>
        <v>0</v>
      </c>
      <c r="R40" s="48">
        <f t="shared" si="6"/>
        <v>0</v>
      </c>
      <c r="S40" s="48">
        <f t="shared" si="6"/>
        <v>60000</v>
      </c>
      <c r="T40" s="48">
        <f t="shared" si="6"/>
        <v>0</v>
      </c>
      <c r="U40" s="48">
        <f t="shared" si="6"/>
        <v>1327</v>
      </c>
      <c r="V40" s="48">
        <f t="shared" si="6"/>
        <v>0</v>
      </c>
    </row>
    <row r="41" spans="1:22" s="6" customFormat="1" ht="12.6" customHeight="1">
      <c r="A41" s="256">
        <v>3</v>
      </c>
      <c r="B41" s="50" t="s">
        <v>3572</v>
      </c>
      <c r="C41" s="51">
        <f t="shared" si="5"/>
        <v>6284686</v>
      </c>
      <c r="D41" s="55">
        <f t="shared" ref="D41:V41" si="7">+D42+D43+D44+D45+D46+D47+D48</f>
        <v>4181683</v>
      </c>
      <c r="E41" s="55">
        <f t="shared" si="7"/>
        <v>0</v>
      </c>
      <c r="F41" s="55">
        <f t="shared" si="7"/>
        <v>234824</v>
      </c>
      <c r="G41" s="55">
        <f t="shared" si="7"/>
        <v>0</v>
      </c>
      <c r="H41" s="55">
        <f t="shared" si="7"/>
        <v>1671492</v>
      </c>
      <c r="I41" s="55">
        <f t="shared" si="7"/>
        <v>100216</v>
      </c>
      <c r="J41" s="55">
        <f t="shared" si="7"/>
        <v>96471</v>
      </c>
      <c r="K41" s="55">
        <f t="shared" si="7"/>
        <v>0</v>
      </c>
      <c r="L41" s="55">
        <f t="shared" si="7"/>
        <v>0</v>
      </c>
      <c r="M41" s="55">
        <f t="shared" si="7"/>
        <v>0</v>
      </c>
      <c r="N41" s="55">
        <f t="shared" si="7"/>
        <v>0</v>
      </c>
      <c r="O41" s="55">
        <f t="shared" si="7"/>
        <v>0</v>
      </c>
      <c r="P41" s="55">
        <f t="shared" si="7"/>
        <v>0</v>
      </c>
      <c r="Q41" s="55">
        <f t="shared" si="7"/>
        <v>0</v>
      </c>
      <c r="R41" s="55">
        <f t="shared" si="7"/>
        <v>0</v>
      </c>
      <c r="S41" s="55">
        <f t="shared" si="7"/>
        <v>0</v>
      </c>
      <c r="T41" s="55">
        <f t="shared" si="7"/>
        <v>0</v>
      </c>
      <c r="U41" s="55">
        <f t="shared" si="7"/>
        <v>0</v>
      </c>
      <c r="V41" s="55">
        <f t="shared" si="7"/>
        <v>0</v>
      </c>
    </row>
    <row r="42" spans="1:22" s="8" customFormat="1" ht="12.6" customHeight="1">
      <c r="A42" s="254">
        <v>31</v>
      </c>
      <c r="B42" s="7" t="s">
        <v>3573</v>
      </c>
      <c r="C42" s="57">
        <f t="shared" si="5"/>
        <v>4514166</v>
      </c>
      <c r="D42" s="61">
        <f>SUMIFS('Unos rashoda i izdataka'!$K$3:$K$498,'Unos rashoda i izdataka'!$C$3:$C$498,"=11",'Unos rashoda i izdataka'!$P$3:$P$498,"=31")+SUMIFS('Unos rashoda P4'!$I$3:$I$496,'Unos rashoda P4'!$A$3:$A$496,"=11",'Unos rashoda P4'!$S$3:$S$496,"=31")</f>
        <v>3805486</v>
      </c>
      <c r="E42" s="61">
        <f>SUMIFS('Unos rashoda i izdataka'!$K$3:$K$498,'Unos rashoda i izdataka'!$C$3:$C$498,"=12",'Unos rashoda i izdataka'!$P$3:$P$498,"=31")+SUMIFS('Unos rashoda P4'!$I$3:$I$496,'Unos rashoda P4'!$A$3:$A$496,"=12",'Unos rashoda P4'!$S$3:$S$496,"=31")</f>
        <v>0</v>
      </c>
      <c r="F42" s="61">
        <f>SUMIFS('Unos rashoda i izdataka'!$K$3:$K$498,'Unos rashoda i izdataka'!$C$3:$C$498,"=31",'Unos rashoda i izdataka'!$P$3:$P$498,"=31")+SUMIFS('Unos rashoda P4'!$I$3:$I$496,'Unos rashoda P4'!$A$3:$A$496,"=31",'Unos rashoda P4'!$S$3:$S$496,"=31")</f>
        <v>50675</v>
      </c>
      <c r="G42" s="61">
        <f>SUMIFS('Unos rashoda i izdataka'!$K$3:$K$498,'Unos rashoda i izdataka'!$C$3:$C$498,"=41",'Unos rashoda i izdataka'!$P$3:$P$498,"=31")+SUMIFS('Unos rashoda P4'!$I$3:$I$496,'Unos rashoda P4'!$A$3:$A$496,"=41",'Unos rashoda P4'!$S$3:$S$496,"=31")</f>
        <v>0</v>
      </c>
      <c r="H42" s="61">
        <f>SUMIFS('Unos rashoda i izdataka'!$K$3:$K$498,'Unos rashoda i izdataka'!$C$3:$C$498,"=43",'Unos rashoda i izdataka'!$P$3:$P$498,"=31")+SUMIFS('Unos rashoda P4'!$I$3:$I$496,'Unos rashoda P4'!$A$3:$A$496,"=43",'Unos rashoda P4'!$S$3:$S$496,"=31")</f>
        <v>568455</v>
      </c>
      <c r="I42" s="61">
        <f>SUMIFS('Unos rashoda i izdataka'!$K$3:$K$498,'Unos rashoda i izdataka'!$C$3:$C$498,"=51",'Unos rashoda i izdataka'!$P$3:$P$498,"=31")+SUMIFS('Unos rashoda P4'!$I$3:$I$496,'Unos rashoda P4'!$A$3:$A$496,"=51",'Unos rashoda P4'!$S$3:$S$496,"=31")</f>
        <v>11197</v>
      </c>
      <c r="J42" s="61">
        <f>SUMIFS('Unos rashoda i izdataka'!$K$3:$K$498,'Unos rashoda i izdataka'!$C$3:$C$498,"=52",'Unos rashoda i izdataka'!$P$3:$P$498,"=31")+SUMIFS('Unos rashoda P4'!$I$3:$I$496,'Unos rashoda P4'!$A$3:$A$496,"=52",'Unos rashoda P4'!$S$3:$S$496,"=31")</f>
        <v>78353</v>
      </c>
      <c r="K42" s="61">
        <f>SUMIFS('Unos rashoda i izdataka'!$K$3:$K$498,'Unos rashoda i izdataka'!$C$3:$C$498,"=552",'Unos rashoda i izdataka'!$P$3:$P$498,"=31")+SUMIFS('Unos rashoda P4'!$I$3:$I$496,'Unos rashoda P4'!$A$3:$A$496,"=552",'Unos rashoda P4'!$S$3:$S$496,"=31")</f>
        <v>0</v>
      </c>
      <c r="L42" s="61">
        <f>SUMIFS('Unos rashoda i izdataka'!$K$3:$K$498,'Unos rashoda i izdataka'!$C$3:$C$498,"=559",'Unos rashoda i izdataka'!$P$3:$P$498,"=31")+SUMIFS('Unos rashoda P4'!$I$3:$I$496,'Unos rashoda P4'!$A$3:$A$496,"=559",'Unos rashoda P4'!$S$3:$S$496,"=31")</f>
        <v>0</v>
      </c>
      <c r="M42" s="61">
        <f>SUMIFS('Unos rashoda i izdataka'!$K$3:$K$498,'Unos rashoda i izdataka'!$C$3:$C$498,"=561",'Unos rashoda i izdataka'!$P$3:$P$498,"=31")+SUMIFS('Unos rashoda P4'!$I$3:$I$496,'Unos rashoda P4'!$A$3:$A$496,"=561",'Unos rashoda P4'!$S$3:$S$496,"=31")</f>
        <v>0</v>
      </c>
      <c r="N42" s="61">
        <f>SUMIFS('Unos rashoda i izdataka'!$K$3:$K$498,'Unos rashoda i izdataka'!$C$3:$C$498,"=563",'Unos rashoda i izdataka'!$P$3:$P$498,"=31")+SUMIFS('Unos rashoda P4'!$I$3:$I$496,'Unos rashoda P4'!$A$3:$A$496,"=563",'Unos rashoda P4'!$S$3:$S$496,"=31")</f>
        <v>0</v>
      </c>
      <c r="O42" s="61">
        <f>SUMIFS('Unos rashoda i izdataka'!$K$3:$K$498,'Unos rashoda i izdataka'!$C$3:$C$498,"=573",'Unos rashoda i izdataka'!$P$3:$P$498,"=31")+SUMIFS('Unos rashoda P4'!$I$3:$I$496,'Unos rashoda P4'!$A$3:$A$496,"=573",'Unos rashoda P4'!$S$3:$S$496,"=31")</f>
        <v>0</v>
      </c>
      <c r="P42" s="61">
        <f>SUMIFS('Unos rashoda i izdataka'!$K$3:$K$498,'Unos rashoda i izdataka'!$C$3:$C$498,"=575",'Unos rashoda i izdataka'!$P$3:$P$498,"=31")+SUMIFS('Unos rashoda P4'!$I$3:$I$496,'Unos rashoda P4'!$A$3:$A$496,"=575",'Unos rashoda P4'!$S$3:$S$496,"=31")</f>
        <v>0</v>
      </c>
      <c r="Q42" s="61">
        <f>SUMIFS('Unos rashoda i izdataka'!$K$3:$K$498,'Unos rashoda i izdataka'!$Q$3:$Q$498,"=576",'Unos rashoda i izdataka'!$P$3:$P$498,"=31")+SUMIFS('Unos rashoda P4'!$I$3:$I$496,'Unos rashoda P4'!$A$3:$A$496,"=576",'Unos rashoda P4'!$S$3:$S$496,"=31")</f>
        <v>0</v>
      </c>
      <c r="R42" s="61">
        <f>SUMIFS('Unos rashoda i izdataka'!$K$3:$K$498,'Unos rashoda i izdataka'!$C$3:$C$498,"=581",'Unos rashoda i izdataka'!$P$3:$P$498,"=31")+SUMIFS('Unos rashoda P4'!$I$3:$I$496,'Unos rashoda P4'!$A$3:$A$496,"=581",'Unos rashoda P4'!$S$3:$S$496,"=31")</f>
        <v>0</v>
      </c>
      <c r="S42" s="61">
        <f>SUMIFS('Unos rashoda i izdataka'!$K$3:$K$498,'Unos rashoda i izdataka'!$C$3:$C$498,"=61",'Unos rashoda i izdataka'!$P$3:$P$498,"=31")+SUMIFS('Unos rashoda P4'!$I$3:$I$496,'Unos rashoda P4'!$A$3:$A$496,"=61",'Unos rashoda P4'!$S$3:$S$496,"=31")</f>
        <v>0</v>
      </c>
      <c r="T42" s="61">
        <f>SUMIFS('Unos rashoda i izdataka'!$K$3:$K$498,'Unos rashoda i izdataka'!$C$3:$C$498,"=63",'Unos rashoda i izdataka'!$P$3:$P$498,"=31")+SUMIFS('Unos rashoda P4'!$I$3:$I$496,'Unos rashoda P4'!$A$3:$A$496,"=63",'Unos rashoda P4'!$S$3:$S$496,"=31")</f>
        <v>0</v>
      </c>
      <c r="U42" s="61">
        <f>SUMIFS('Unos rashoda i izdataka'!$K$3:$K$498,'Unos rashoda i izdataka'!$C$3:$C$498,"=71",'Unos rashoda i izdataka'!$P$3:$P$498,"=31")+SUMIFS('Unos rashoda P4'!$I$3:$I$496,'Unos rashoda P4'!$A$3:$A$496,"=71",'Unos rashoda P4'!$S$3:$S$496,"=31")</f>
        <v>0</v>
      </c>
      <c r="V42" s="61">
        <f>SUMIFS('Unos rashoda i izdataka'!$K$3:$K$498,'Unos rashoda i izdataka'!$C$3:$C$498,"=81",'Unos rashoda i izdataka'!$P$3:$P$498,"=31")+SUMIFS('Unos rashoda P4'!$I$3:$I$496,'Unos rashoda P4'!$A$3:$A$496,"=81",'Unos rashoda P4'!$S$3:$S$496,"=31")</f>
        <v>0</v>
      </c>
    </row>
    <row r="43" spans="1:22" s="28" customFormat="1" ht="12.6" customHeight="1">
      <c r="A43" s="255">
        <v>32</v>
      </c>
      <c r="B43" s="9" t="s">
        <v>3576</v>
      </c>
      <c r="C43" s="58">
        <f t="shared" si="5"/>
        <v>1667760</v>
      </c>
      <c r="D43" s="61">
        <f>SUMIFS('Unos rashoda i izdataka'!$K$3:$K$498,'Unos rashoda i izdataka'!$C$3:$C$498,"=11",'Unos rashoda i izdataka'!$P$3:$P$498,"=32")+SUMIFS('Unos rashoda P4'!$I$3:$I$496,'Unos rashoda P4'!$A$3:$A$496,"=11",'Unos rashoda P4'!$S$3:$S$496,"=32")</f>
        <v>353844</v>
      </c>
      <c r="E43" s="61">
        <f>SUMIFS('Unos rashoda i izdataka'!$K$3:$K$498,'Unos rashoda i izdataka'!$C$3:$C$498,"=12",'Unos rashoda i izdataka'!$P$3:$P$498,"=32")+SUMIFS('Unos rashoda P4'!$I$3:$I$496,'Unos rashoda P4'!$A$3:$A$496,"=12",'Unos rashoda P4'!$S$3:$S$496,"=32")</f>
        <v>0</v>
      </c>
      <c r="F43" s="61">
        <f>SUMIFS('Unos rashoda i izdataka'!$K$3:$K$498,'Unos rashoda i izdataka'!$C$3:$C$498,"=31",'Unos rashoda i izdataka'!$P$3:$P$498,"=32")+SUMIFS('Unos rashoda P4'!$I$3:$I$496,'Unos rashoda P4'!$A$3:$A$496,"=31",'Unos rashoda P4'!$S$3:$S$496,"=32")</f>
        <v>184149</v>
      </c>
      <c r="G43" s="61">
        <f>SUMIFS('Unos rashoda i izdataka'!$K$3:$K$498,'Unos rashoda i izdataka'!$C$3:$C$498,"=41",'Unos rashoda i izdataka'!$P$3:$P$498,"=32")+SUMIFS('Unos rashoda P4'!$I$3:$I$496,'Unos rashoda P4'!$A$3:$A$496,"=41",'Unos rashoda P4'!$S$3:$S$496,"=32")</f>
        <v>0</v>
      </c>
      <c r="H43" s="61">
        <f>SUMIFS('Unos rashoda i izdataka'!$K$3:$K$498,'Unos rashoda i izdataka'!$C$3:$C$498,"=43",'Unos rashoda i izdataka'!$P$3:$P$498,"=32")+SUMIFS('Unos rashoda P4'!$I$3:$I$496,'Unos rashoda P4'!$A$3:$A$496,"=43",'Unos rashoda P4'!$S$3:$S$496,"=32")</f>
        <v>1099686</v>
      </c>
      <c r="I43" s="61">
        <f>SUMIFS('Unos rashoda i izdataka'!$K$3:$K$498,'Unos rashoda i izdataka'!$C$3:$C$498,"=51",'Unos rashoda i izdataka'!$P$3:$P$498,"=32")+SUMIFS('Unos rashoda P4'!$I$3:$I$496,'Unos rashoda P4'!$A$3:$A$496,"=51",'Unos rashoda P4'!$S$3:$S$496,"=32")</f>
        <v>11963</v>
      </c>
      <c r="J43" s="61">
        <f>SUMIFS('Unos rashoda i izdataka'!$K$3:$K$498,'Unos rashoda i izdataka'!$C$3:$C$498,"=52",'Unos rashoda i izdataka'!$P$3:$P$498,"=32")+SUMIFS('Unos rashoda P4'!$I$3:$I$496,'Unos rashoda P4'!$A$3:$A$496,"=52",'Unos rashoda P4'!$S$3:$S$496,"=32")</f>
        <v>18118</v>
      </c>
      <c r="K43" s="61">
        <f>SUMIFS('Unos rashoda i izdataka'!$K$3:$K$498,'Unos rashoda i izdataka'!$C$3:$C$498,"=552",'Unos rashoda i izdataka'!$P$3:$P$498,"=32")+SUMIFS('Unos rashoda P4'!$I$3:$I$496,'Unos rashoda P4'!$A$3:$A$496,"=552",'Unos rashoda P4'!$S$3:$S$496,"=32")</f>
        <v>0</v>
      </c>
      <c r="L43" s="61">
        <f>SUMIFS('Unos rashoda i izdataka'!$K$3:$K$498,'Unos rashoda i izdataka'!$C$3:$C$498,"=559",'Unos rashoda i izdataka'!$P$3:$P$498,"=32")+SUMIFS('Unos rashoda P4'!$I$3:$I$496,'Unos rashoda P4'!$A$3:$A$496,"=559",'Unos rashoda P4'!$S$3:$S$496,"=32")</f>
        <v>0</v>
      </c>
      <c r="M43" s="61">
        <f>SUMIFS('Unos rashoda i izdataka'!$K$3:$K$498,'Unos rashoda i izdataka'!$C$3:$C$498,"=561",'Unos rashoda i izdataka'!$P$3:$P$498,"=32")+SUMIFS('Unos rashoda P4'!$I$3:$I$496,'Unos rashoda P4'!$A$3:$A$496,"=561",'Unos rashoda P4'!$S$3:$S$496,"=32")</f>
        <v>0</v>
      </c>
      <c r="N43" s="61">
        <f>SUMIFS('Unos rashoda i izdataka'!$K$3:$K$498,'Unos rashoda i izdataka'!$C$3:$C$498,"=563",'Unos rashoda i izdataka'!$P$3:$P$498,"=32")+SUMIFS('Unos rashoda P4'!$I$3:$I$496,'Unos rashoda P4'!$A$3:$A$496,"=563",'Unos rashoda P4'!$S$3:$S$496,"=32")</f>
        <v>0</v>
      </c>
      <c r="O43" s="61">
        <f>SUMIFS('Unos rashoda i izdataka'!$K$3:$K$498,'Unos rashoda i izdataka'!$C$3:$C$498,"=573",'Unos rashoda i izdataka'!$P$3:$P$498,"=32")+SUMIFS('Unos rashoda P4'!$I$3:$I$496,'Unos rashoda P4'!$A$3:$A$496,"=573",'Unos rashoda P4'!$S$3:$S$496,"=32")</f>
        <v>0</v>
      </c>
      <c r="P43" s="61">
        <f>SUMIFS('Unos rashoda i izdataka'!$K$3:$K$498,'Unos rashoda i izdataka'!$C$3:$C$498,"=575",'Unos rashoda i izdataka'!$P$3:$P$498,"=32")+SUMIFS('Unos rashoda P4'!$I$3:$I$496,'Unos rashoda P4'!$A$3:$A$496,"=575",'Unos rashoda P4'!$S$3:$S$496,"=32")</f>
        <v>0</v>
      </c>
      <c r="Q43" s="61">
        <f>SUMIFS('Unos rashoda i izdataka'!$K$3:$K$498,'Unos rashoda i izdataka'!$Q$3:$Q$498,"=576",'Unos rashoda i izdataka'!$P$3:$P$498,"=32")+SUMIFS('Unos rashoda P4'!$I$3:$I$496,'Unos rashoda P4'!$A$3:$A$496,"=576",'Unos rashoda P4'!$S$3:$S$496,"=32")</f>
        <v>0</v>
      </c>
      <c r="R43" s="61">
        <f>SUMIFS('Unos rashoda i izdataka'!$K$3:$K$498,'Unos rashoda i izdataka'!$C$3:$C$498,"=581",'Unos rashoda i izdataka'!$P$3:$P$498,"=32")+SUMIFS('Unos rashoda P4'!$I$3:$I$496,'Unos rashoda P4'!$A$3:$A$496,"=581",'Unos rashoda P4'!$S$3:$S$496,"=32")</f>
        <v>0</v>
      </c>
      <c r="S43" s="61">
        <f>SUMIFS('Unos rashoda i izdataka'!$K$3:$K$498,'Unos rashoda i izdataka'!$C$3:$C$498,"=61",'Unos rashoda i izdataka'!$P$3:$P$498,"=32")+SUMIFS('Unos rashoda P4'!$I$3:$I$496,'Unos rashoda P4'!$A$3:$A$496,"=61",'Unos rashoda P4'!$S$3:$S$496,"=32")</f>
        <v>0</v>
      </c>
      <c r="T43" s="61">
        <f>SUMIFS('Unos rashoda i izdataka'!$K$3:$K$498,'Unos rashoda i izdataka'!$C$3:$C$498,"=63",'Unos rashoda i izdataka'!$P$3:$P$498,"=32")+SUMIFS('Unos rashoda P4'!$I$3:$I$496,'Unos rashoda P4'!$A$3:$A$496,"=63",'Unos rashoda P4'!$S$3:$S$496,"=32")</f>
        <v>0</v>
      </c>
      <c r="U43" s="61">
        <f>SUMIFS('Unos rashoda i izdataka'!$K$3:$K$498,'Unos rashoda i izdataka'!$C$3:$C$498,"=71",'Unos rashoda i izdataka'!$P$3:$P$498,"=32")+SUMIFS('Unos rashoda P4'!$I$3:$I$496,'Unos rashoda P4'!$A$3:$A$496,"=71",'Unos rashoda P4'!$S$3:$S$496,"=32")</f>
        <v>0</v>
      </c>
      <c r="V43" s="61">
        <f>SUMIFS('Unos rashoda i izdataka'!$K$3:$K$498,'Unos rashoda i izdataka'!$C$3:$C$498,"=81",'Unos rashoda i izdataka'!$P$3:$P$498,"=32")+SUMIFS('Unos rashoda P4'!$I$3:$I$496,'Unos rashoda P4'!$A$3:$A$496,"=81",'Unos rashoda P4'!$S$3:$S$496,"=32")</f>
        <v>0</v>
      </c>
    </row>
    <row r="44" spans="1:22" s="10" customFormat="1" ht="12.6" customHeight="1">
      <c r="A44" s="255">
        <v>34</v>
      </c>
      <c r="B44" s="9" t="s">
        <v>3578</v>
      </c>
      <c r="C44" s="58">
        <f t="shared" si="5"/>
        <v>3351</v>
      </c>
      <c r="D44" s="61">
        <f>SUMIFS('Unos rashoda i izdataka'!$K$3:$K$498,'Unos rashoda i izdataka'!$C$3:$C$498,"=11",'Unos rashoda i izdataka'!$P$3:$P$498,"=34")+SUMIFS('Unos rashoda P4'!$I$3:$I$496,'Unos rashoda P4'!$A$3:$A$496,"=11",'Unos rashoda P4'!$S$3:$S$496,"=34")</f>
        <v>0</v>
      </c>
      <c r="E44" s="61">
        <f>SUMIFS('Unos rashoda i izdataka'!$K$3:$K$498,'Unos rashoda i izdataka'!$C$3:$C$498,"=12",'Unos rashoda i izdataka'!$P$3:$P$498,"=34")+SUMIFS('Unos rashoda P4'!$I$3:$I$496,'Unos rashoda P4'!$A$3:$A$496,"=12",'Unos rashoda P4'!$S$3:$S$496,"=34")</f>
        <v>0</v>
      </c>
      <c r="F44" s="61">
        <f>SUMIFS('Unos rashoda i izdataka'!$K$3:$K$498,'Unos rashoda i izdataka'!$C$3:$C$498,"=31",'Unos rashoda i izdataka'!$P$3:$P$498,"=34")+SUMIFS('Unos rashoda P4'!$I$3:$I$496,'Unos rashoda P4'!$A$3:$A$496,"=31",'Unos rashoda P4'!$S$3:$S$496,"=34")</f>
        <v>0</v>
      </c>
      <c r="G44" s="61">
        <f>SUMIFS('Unos rashoda i izdataka'!$K$3:$K$498,'Unos rashoda i izdataka'!$C$3:$C$498,"=41",'Unos rashoda i izdataka'!$P$3:$P$498,"=34")+SUMIFS('Unos rashoda P4'!$I$3:$I$496,'Unos rashoda P4'!$A$3:$A$496,"=41",'Unos rashoda P4'!$S$3:$S$496,"=34")</f>
        <v>0</v>
      </c>
      <c r="H44" s="61">
        <f>SUMIFS('Unos rashoda i izdataka'!$K$3:$K$498,'Unos rashoda i izdataka'!$C$3:$C$498,"=43",'Unos rashoda i izdataka'!$P$3:$P$498,"=34")+SUMIFS('Unos rashoda P4'!$I$3:$I$496,'Unos rashoda P4'!$A$3:$A$496,"=43",'Unos rashoda P4'!$S$3:$S$496,"=34")</f>
        <v>3351</v>
      </c>
      <c r="I44" s="61">
        <f>SUMIFS('Unos rashoda i izdataka'!$K$3:$K$498,'Unos rashoda i izdataka'!$C$3:$C$498,"=51",'Unos rashoda i izdataka'!$P$3:$P$498,"=34")+SUMIFS('Unos rashoda P4'!$I$3:$I$496,'Unos rashoda P4'!$A$3:$A$496,"=51",'Unos rashoda P4'!$S$3:$S$496,"=34")</f>
        <v>0</v>
      </c>
      <c r="J44" s="61">
        <f>SUMIFS('Unos rashoda i izdataka'!$K$3:$K$498,'Unos rashoda i izdataka'!$C$3:$C$498,"=52",'Unos rashoda i izdataka'!$P$3:$P$498,"=34")+SUMIFS('Unos rashoda P4'!$I$3:$I$496,'Unos rashoda P4'!$A$3:$A$496,"=52",'Unos rashoda P4'!$S$3:$S$496,"=34")</f>
        <v>0</v>
      </c>
      <c r="K44" s="61">
        <f>SUMIFS('Unos rashoda i izdataka'!$K$3:$K$498,'Unos rashoda i izdataka'!$C$3:$C$498,"=552",'Unos rashoda i izdataka'!$P$3:$P$498,"=34")+SUMIFS('Unos rashoda P4'!$I$3:$I$496,'Unos rashoda P4'!$A$3:$A$496,"=552",'Unos rashoda P4'!$S$3:$S$496,"=34")</f>
        <v>0</v>
      </c>
      <c r="L44" s="61">
        <f>SUMIFS('Unos rashoda i izdataka'!$K$3:$K$498,'Unos rashoda i izdataka'!$C$3:$C$498,"=559",'Unos rashoda i izdataka'!$P$3:$P$498,"=34")+SUMIFS('Unos rashoda P4'!$I$3:$I$496,'Unos rashoda P4'!$A$3:$A$496,"=559",'Unos rashoda P4'!$S$3:$S$496,"=34")</f>
        <v>0</v>
      </c>
      <c r="M44" s="61">
        <f>SUMIFS('Unos rashoda i izdataka'!$K$3:$K$498,'Unos rashoda i izdataka'!$C$3:$C$498,"=561",'Unos rashoda i izdataka'!$P$3:$P$498,"=34")+SUMIFS('Unos rashoda P4'!$I$3:$I$496,'Unos rashoda P4'!$A$3:$A$496,"=561",'Unos rashoda P4'!$S$3:$S$496,"=34")</f>
        <v>0</v>
      </c>
      <c r="N44" s="61">
        <f>SUMIFS('Unos rashoda i izdataka'!$K$3:$K$498,'Unos rashoda i izdataka'!$C$3:$C$498,"=563",'Unos rashoda i izdataka'!$P$3:$P$498,"=34")+SUMIFS('Unos rashoda P4'!$I$3:$I$496,'Unos rashoda P4'!$A$3:$A$496,"=563",'Unos rashoda P4'!$S$3:$S$496,"=34")</f>
        <v>0</v>
      </c>
      <c r="O44" s="61">
        <f>SUMIFS('Unos rashoda i izdataka'!$K$3:$K$498,'Unos rashoda i izdataka'!$C$3:$C$498,"=573",'Unos rashoda i izdataka'!$P$3:$P$498,"=34")+SUMIFS('Unos rashoda P4'!$I$3:$I$496,'Unos rashoda P4'!$A$3:$A$496,"=573",'Unos rashoda P4'!$S$3:$S$496,"=34")</f>
        <v>0</v>
      </c>
      <c r="P44" s="61">
        <f>SUMIFS('Unos rashoda i izdataka'!$K$3:$K$498,'Unos rashoda i izdataka'!$C$3:$C$498,"=575",'Unos rashoda i izdataka'!$P$3:$P$498,"=34")+SUMIFS('Unos rashoda P4'!$I$3:$I$496,'Unos rashoda P4'!$A$3:$A$496,"=575",'Unos rashoda P4'!$S$3:$S$496,"=34")</f>
        <v>0</v>
      </c>
      <c r="Q44" s="61">
        <f>SUMIFS('Unos rashoda i izdataka'!$K$3:$K$498,'Unos rashoda i izdataka'!$Q$3:$Q$498,"=576",'Unos rashoda i izdataka'!$P$3:$P$498,"=34")+SUMIFS('Unos rashoda P4'!$I$3:$I$496,'Unos rashoda P4'!$A$3:$A$496,"=576",'Unos rashoda P4'!$S$3:$S$496,"=34")</f>
        <v>0</v>
      </c>
      <c r="R44" s="61">
        <f>SUMIFS('Unos rashoda i izdataka'!$K$3:$K$498,'Unos rashoda i izdataka'!$C$3:$C$498,"=581",'Unos rashoda i izdataka'!$P$3:$P$498,"=34")+SUMIFS('Unos rashoda P4'!$I$3:$I$496,'Unos rashoda P4'!$A$3:$A$496,"=581",'Unos rashoda P4'!$S$3:$S$496,"=34")</f>
        <v>0</v>
      </c>
      <c r="S44" s="61">
        <f>SUMIFS('Unos rashoda i izdataka'!$K$3:$K$498,'Unos rashoda i izdataka'!$C$3:$C$498,"=61",'Unos rashoda i izdataka'!$P$3:$P$498,"=34")+SUMIFS('Unos rashoda P4'!$I$3:$I$496,'Unos rashoda P4'!$A$3:$A$496,"=61",'Unos rashoda P4'!$S$3:$S$496,"=34")</f>
        <v>0</v>
      </c>
      <c r="T44" s="61">
        <f>SUMIFS('Unos rashoda i izdataka'!$K$3:$K$498,'Unos rashoda i izdataka'!$C$3:$C$498,"=63",'Unos rashoda i izdataka'!$P$3:$P$498,"=34")+SUMIFS('Unos rashoda P4'!$I$3:$I$496,'Unos rashoda P4'!$A$3:$A$496,"=63",'Unos rashoda P4'!$S$3:$S$496,"=34")</f>
        <v>0</v>
      </c>
      <c r="U44" s="61">
        <f>SUMIFS('Unos rashoda i izdataka'!$K$3:$K$498,'Unos rashoda i izdataka'!$C$3:$C$498,"=71",'Unos rashoda i izdataka'!$P$3:$P$498,"=34")+SUMIFS('Unos rashoda P4'!$I$3:$I$496,'Unos rashoda P4'!$A$3:$A$496,"=71",'Unos rashoda P4'!$S$3:$S$496,"=34")</f>
        <v>0</v>
      </c>
      <c r="V44" s="61">
        <f>SUMIFS('Unos rashoda i izdataka'!$K$3:$K$498,'Unos rashoda i izdataka'!$C$3:$C$498,"=81",'Unos rashoda i izdataka'!$P$3:$P$498,"=34")+SUMIFS('Unos rashoda P4'!$I$3:$I$496,'Unos rashoda P4'!$A$3:$A$496,"=81",'Unos rashoda P4'!$S$3:$S$496,"=34")</f>
        <v>0</v>
      </c>
    </row>
    <row r="45" spans="1:22" s="28" customFormat="1" ht="12.6" customHeight="1">
      <c r="A45" s="255">
        <v>35</v>
      </c>
      <c r="B45" s="9" t="s">
        <v>3579</v>
      </c>
      <c r="C45" s="58">
        <f t="shared" si="5"/>
        <v>0</v>
      </c>
      <c r="D45" s="61">
        <f>SUMIFS('Unos rashoda i izdataka'!$K$3:$K$498,'Unos rashoda i izdataka'!$C$3:$C$498,"=11",'Unos rashoda i izdataka'!$P$3:$P$498,"=35")+SUMIFS('Unos rashoda P4'!$I$3:$I$496,'Unos rashoda P4'!$A$3:$A$496,"=11",'Unos rashoda P4'!$S$3:$S$496,"=35")</f>
        <v>0</v>
      </c>
      <c r="E45" s="61">
        <f>SUMIFS('Unos rashoda i izdataka'!$K$3:$K$498,'Unos rashoda i izdataka'!$C$3:$C$498,"=12",'Unos rashoda i izdataka'!$P$3:$P$498,"=35")+SUMIFS('Unos rashoda P4'!$I$3:$I$496,'Unos rashoda P4'!$A$3:$A$496,"=12",'Unos rashoda P4'!$S$3:$S$496,"=35")</f>
        <v>0</v>
      </c>
      <c r="F45" s="61">
        <f>SUMIFS('Unos rashoda i izdataka'!$K$3:$K$498,'Unos rashoda i izdataka'!$C$3:$C$498,"=31",'Unos rashoda i izdataka'!$P$3:$P$498,"=35")+SUMIFS('Unos rashoda P4'!$I$3:$I$496,'Unos rashoda P4'!$A$3:$A$496,"=31",'Unos rashoda P4'!$S$3:$S$496,"=35")</f>
        <v>0</v>
      </c>
      <c r="G45" s="61">
        <f>SUMIFS('Unos rashoda i izdataka'!$K$3:$K$498,'Unos rashoda i izdataka'!$C$3:$C$498,"=41",'Unos rashoda i izdataka'!$P$3:$P$498,"=35")+SUMIFS('Unos rashoda P4'!$I$3:$I$496,'Unos rashoda P4'!$A$3:$A$496,"=41",'Unos rashoda P4'!$S$3:$S$496,"=35")</f>
        <v>0</v>
      </c>
      <c r="H45" s="61">
        <f>SUMIFS('Unos rashoda i izdataka'!$K$3:$K$498,'Unos rashoda i izdataka'!$C$3:$C$498,"=43",'Unos rashoda i izdataka'!$P$3:$P$498,"=35")+SUMIFS('Unos rashoda P4'!$I$3:$I$496,'Unos rashoda P4'!$A$3:$A$496,"=43",'Unos rashoda P4'!$S$3:$S$496,"=35")</f>
        <v>0</v>
      </c>
      <c r="I45" s="61">
        <f>SUMIFS('Unos rashoda i izdataka'!$K$3:$K$498,'Unos rashoda i izdataka'!$C$3:$C$498,"=51",'Unos rashoda i izdataka'!$P$3:$P$498,"=35")+SUMIFS('Unos rashoda P4'!$I$3:$I$496,'Unos rashoda P4'!$A$3:$A$496,"=51",'Unos rashoda P4'!$S$3:$S$496,"=35")</f>
        <v>0</v>
      </c>
      <c r="J45" s="61">
        <f>SUMIFS('Unos rashoda i izdataka'!$K$3:$K$498,'Unos rashoda i izdataka'!$C$3:$C$498,"=52",'Unos rashoda i izdataka'!$P$3:$P$498,"=35")+SUMIFS('Unos rashoda P4'!$I$3:$I$496,'Unos rashoda P4'!$A$3:$A$496,"=52",'Unos rashoda P4'!$S$3:$S$496,"=35")</f>
        <v>0</v>
      </c>
      <c r="K45" s="61">
        <f>SUMIFS('Unos rashoda i izdataka'!$K$3:$K$498,'Unos rashoda i izdataka'!$C$3:$C$498,"=552",'Unos rashoda i izdataka'!$P$3:$P$498,"=35")+SUMIFS('Unos rashoda P4'!$I$3:$I$496,'Unos rashoda P4'!$A$3:$A$496,"=552",'Unos rashoda P4'!$S$3:$S$496,"=35")</f>
        <v>0</v>
      </c>
      <c r="L45" s="61">
        <f>SUMIFS('Unos rashoda i izdataka'!$K$3:$K$498,'Unos rashoda i izdataka'!$C$3:$C$498,"=559",'Unos rashoda i izdataka'!$P$3:$P$498,"=35")+SUMIFS('Unos rashoda P4'!$I$3:$I$496,'Unos rashoda P4'!$A$3:$A$496,"=559",'Unos rashoda P4'!$S$3:$S$496,"=35")</f>
        <v>0</v>
      </c>
      <c r="M45" s="61">
        <f>SUMIFS('Unos rashoda i izdataka'!$K$3:$K$498,'Unos rashoda i izdataka'!$C$3:$C$498,"=561",'Unos rashoda i izdataka'!$P$3:$P$498,"=35")+SUMIFS('Unos rashoda P4'!$I$3:$I$496,'Unos rashoda P4'!$A$3:$A$496,"=561",'Unos rashoda P4'!$S$3:$S$496,"=35")</f>
        <v>0</v>
      </c>
      <c r="N45" s="61">
        <f>SUMIFS('Unos rashoda i izdataka'!$K$3:$K$498,'Unos rashoda i izdataka'!$C$3:$C$498,"=563",'Unos rashoda i izdataka'!$P$3:$P$498,"=35")+SUMIFS('Unos rashoda P4'!$I$3:$I$496,'Unos rashoda P4'!$A$3:$A$496,"=563",'Unos rashoda P4'!$S$3:$S$496,"=35")</f>
        <v>0</v>
      </c>
      <c r="O45" s="61">
        <f>SUMIFS('Unos rashoda i izdataka'!$K$3:$K$498,'Unos rashoda i izdataka'!$C$3:$C$498,"=573",'Unos rashoda i izdataka'!$P$3:$P$498,"=35")+SUMIFS('Unos rashoda P4'!$I$3:$I$496,'Unos rashoda P4'!$A$3:$A$496,"=573",'Unos rashoda P4'!$S$3:$S$496,"=35")</f>
        <v>0</v>
      </c>
      <c r="P45" s="61">
        <f>SUMIFS('Unos rashoda i izdataka'!$K$3:$K$498,'Unos rashoda i izdataka'!$C$3:$C$498,"=575",'Unos rashoda i izdataka'!$P$3:$P$498,"=35")+SUMIFS('Unos rashoda P4'!$I$3:$I$496,'Unos rashoda P4'!$A$3:$A$496,"=575",'Unos rashoda P4'!$S$3:$S$496,"=35")</f>
        <v>0</v>
      </c>
      <c r="Q45" s="61">
        <f>SUMIFS('Unos rashoda i izdataka'!$K$3:$K$498,'Unos rashoda i izdataka'!$Q$3:$Q$498,"=576",'Unos rashoda i izdataka'!$P$3:$P$498,"=35")+SUMIFS('Unos rashoda P4'!$I$3:$I$496,'Unos rashoda P4'!$A$3:$A$496,"=576",'Unos rashoda P4'!$S$3:$S$496,"=35")</f>
        <v>0</v>
      </c>
      <c r="R45" s="61">
        <f>SUMIFS('Unos rashoda i izdataka'!$K$3:$K$498,'Unos rashoda i izdataka'!$C$3:$C$498,"=581",'Unos rashoda i izdataka'!$P$3:$P$498,"=35")+SUMIFS('Unos rashoda P4'!$I$3:$I$496,'Unos rashoda P4'!$A$3:$A$496,"=581",'Unos rashoda P4'!$S$3:$S$496,"=35")</f>
        <v>0</v>
      </c>
      <c r="S45" s="61">
        <f>SUMIFS('Unos rashoda i izdataka'!$K$3:$K$498,'Unos rashoda i izdataka'!$C$3:$C$498,"=61",'Unos rashoda i izdataka'!$P$3:$P$498,"=35")+SUMIFS('Unos rashoda P4'!$I$3:$I$496,'Unos rashoda P4'!$A$3:$A$496,"=61",'Unos rashoda P4'!$S$3:$S$496,"=35")</f>
        <v>0</v>
      </c>
      <c r="T45" s="61">
        <f>SUMIFS('Unos rashoda i izdataka'!$K$3:$K$498,'Unos rashoda i izdataka'!$C$3:$C$498,"=63",'Unos rashoda i izdataka'!$P$3:$P$498,"=35")+SUMIFS('Unos rashoda P4'!$I$3:$I$496,'Unos rashoda P4'!$A$3:$A$496,"=63",'Unos rashoda P4'!$S$3:$S$496,"=35")</f>
        <v>0</v>
      </c>
      <c r="U45" s="61">
        <f>SUMIFS('Unos rashoda i izdataka'!$K$3:$K$498,'Unos rashoda i izdataka'!$C$3:$C$498,"=71",'Unos rashoda i izdataka'!$P$3:$P$498,"=35")+SUMIFS('Unos rashoda P4'!$I$3:$I$496,'Unos rashoda P4'!$A$3:$A$496,"=71",'Unos rashoda P4'!$S$3:$S$496,"=35")</f>
        <v>0</v>
      </c>
      <c r="V45" s="61">
        <f>SUMIFS('Unos rashoda i izdataka'!$K$3:$K$498,'Unos rashoda i izdataka'!$C$3:$C$498,"=81",'Unos rashoda i izdataka'!$P$3:$P$498,"=35")+SUMIFS('Unos rashoda P4'!$I$3:$I$496,'Unos rashoda P4'!$A$3:$A$496,"=81",'Unos rashoda P4'!$S$3:$S$496,"=35")</f>
        <v>0</v>
      </c>
    </row>
    <row r="46" spans="1:22" s="28" customFormat="1" ht="12.6" customHeight="1">
      <c r="A46" s="255">
        <v>36</v>
      </c>
      <c r="B46" s="11" t="s">
        <v>3580</v>
      </c>
      <c r="C46" s="58">
        <f t="shared" si="5"/>
        <v>77056</v>
      </c>
      <c r="D46" s="61">
        <f>SUMIFS('Unos rashoda i izdataka'!$K$3:$K$498,'Unos rashoda i izdataka'!$C$3:$C$498,"=11",'Unos rashoda i izdataka'!$P$3:$P$498,"=36")+SUMIFS('Unos rashoda P4'!$I$3:$I$496,'Unos rashoda P4'!$A$3:$A$496,"=11",'Unos rashoda P4'!$S$3:$S$496,"=36")</f>
        <v>0</v>
      </c>
      <c r="E46" s="61">
        <f>SUMIFS('Unos rashoda i izdataka'!$K$3:$K$498,'Unos rashoda i izdataka'!$C$3:$C$498,"=12",'Unos rashoda i izdataka'!$P$3:$P$498,"=36")+SUMIFS('Unos rashoda P4'!$I$3:$I$496,'Unos rashoda P4'!$A$3:$A$496,"=12",'Unos rashoda P4'!$S$3:$S$496,"=36")</f>
        <v>0</v>
      </c>
      <c r="F46" s="61">
        <f>SUMIFS('Unos rashoda i izdataka'!$K$3:$K$498,'Unos rashoda i izdataka'!$C$3:$C$498,"=31",'Unos rashoda i izdataka'!$P$3:$P$498,"=36")+SUMIFS('Unos rashoda P4'!$I$3:$I$496,'Unos rashoda P4'!$A$3:$A$496,"=31",'Unos rashoda P4'!$S$3:$S$496,"=36")</f>
        <v>0</v>
      </c>
      <c r="G46" s="61">
        <f>SUMIFS('Unos rashoda i izdataka'!$K$3:$K$498,'Unos rashoda i izdataka'!$C$3:$C$498,"=41",'Unos rashoda i izdataka'!$P$3:$P$498,"=36")+SUMIFS('Unos rashoda P4'!$I$3:$I$496,'Unos rashoda P4'!$A$3:$A$496,"=41",'Unos rashoda P4'!$S$3:$S$496,"=36")</f>
        <v>0</v>
      </c>
      <c r="H46" s="61">
        <f>SUMIFS('Unos rashoda i izdataka'!$K$3:$K$498,'Unos rashoda i izdataka'!$C$3:$C$498,"=43",'Unos rashoda i izdataka'!$P$3:$P$498,"=36")+SUMIFS('Unos rashoda P4'!$I$3:$I$496,'Unos rashoda P4'!$A$3:$A$496,"=43",'Unos rashoda P4'!$S$3:$S$496,"=36")</f>
        <v>0</v>
      </c>
      <c r="I46" s="61">
        <f>SUMIFS('Unos rashoda i izdataka'!$K$3:$K$498,'Unos rashoda i izdataka'!$C$3:$C$498,"=51",'Unos rashoda i izdataka'!$P$3:$P$498,"=36")+SUMIFS('Unos rashoda P4'!$I$3:$I$496,'Unos rashoda P4'!$A$3:$A$496,"=51",'Unos rashoda P4'!$S$3:$S$496,"=36")</f>
        <v>77056</v>
      </c>
      <c r="J46" s="61">
        <f>SUMIFS('Unos rashoda i izdataka'!$K$3:$K$498,'Unos rashoda i izdataka'!$C$3:$C$498,"=52",'Unos rashoda i izdataka'!$P$3:$P$498,"=36")+SUMIFS('Unos rashoda P4'!$I$3:$I$496,'Unos rashoda P4'!$A$3:$A$496,"=52",'Unos rashoda P4'!$S$3:$S$496,"=36")</f>
        <v>0</v>
      </c>
      <c r="K46" s="61">
        <f>SUMIFS('Unos rashoda i izdataka'!$K$3:$K$498,'Unos rashoda i izdataka'!$C$3:$C$498,"=552",'Unos rashoda i izdataka'!$P$3:$P$498,"=36")+SUMIFS('Unos rashoda P4'!$I$3:$I$496,'Unos rashoda P4'!$A$3:$A$496,"=552",'Unos rashoda P4'!$S$3:$S$496,"=36")</f>
        <v>0</v>
      </c>
      <c r="L46" s="61">
        <f>SUMIFS('Unos rashoda i izdataka'!$K$3:$K$498,'Unos rashoda i izdataka'!$C$3:$C$498,"=559",'Unos rashoda i izdataka'!$P$3:$P$498,"=36")+SUMIFS('Unos rashoda P4'!$I$3:$I$496,'Unos rashoda P4'!$A$3:$A$496,"=559",'Unos rashoda P4'!$S$3:$S$496,"=36")</f>
        <v>0</v>
      </c>
      <c r="M46" s="61">
        <f>SUMIFS('Unos rashoda i izdataka'!$K$3:$K$498,'Unos rashoda i izdataka'!$C$3:$C$498,"=561",'Unos rashoda i izdataka'!$P$3:$P$498,"=36")+SUMIFS('Unos rashoda P4'!$I$3:$I$496,'Unos rashoda P4'!$A$3:$A$496,"=561",'Unos rashoda P4'!$S$3:$S$496,"=36")</f>
        <v>0</v>
      </c>
      <c r="N46" s="61">
        <f>SUMIFS('Unos rashoda i izdataka'!$K$3:$K$498,'Unos rashoda i izdataka'!$C$3:$C$498,"=563",'Unos rashoda i izdataka'!$P$3:$P$498,"=36")+SUMIFS('Unos rashoda P4'!$I$3:$I$496,'Unos rashoda P4'!$A$3:$A$496,"=563",'Unos rashoda P4'!$S$3:$S$496,"=36")</f>
        <v>0</v>
      </c>
      <c r="O46" s="61">
        <f>SUMIFS('Unos rashoda i izdataka'!$K$3:$K$498,'Unos rashoda i izdataka'!$C$3:$C$498,"=573",'Unos rashoda i izdataka'!$P$3:$P$498,"=36")+SUMIFS('Unos rashoda P4'!$I$3:$I$496,'Unos rashoda P4'!$A$3:$A$496,"=573",'Unos rashoda P4'!$S$3:$S$496,"=36")</f>
        <v>0</v>
      </c>
      <c r="P46" s="61">
        <f>SUMIFS('Unos rashoda i izdataka'!$K$3:$K$498,'Unos rashoda i izdataka'!$C$3:$C$498,"=575",'Unos rashoda i izdataka'!$P$3:$P$498,"=36")+SUMIFS('Unos rashoda P4'!$I$3:$I$496,'Unos rashoda P4'!$A$3:$A$496,"=575",'Unos rashoda P4'!$S$3:$S$496,"=36")</f>
        <v>0</v>
      </c>
      <c r="Q46" s="61">
        <f>SUMIFS('Unos rashoda i izdataka'!$K$3:$K$498,'Unos rashoda i izdataka'!$Q$3:$Q$498,"=576",'Unos rashoda i izdataka'!$P$3:$P$498,"=36")+SUMIFS('Unos rashoda P4'!$I$3:$I$496,'Unos rashoda P4'!$A$3:$A$496,"=576",'Unos rashoda P4'!$S$3:$S$496,"=36")</f>
        <v>0</v>
      </c>
      <c r="R46" s="61">
        <f>SUMIFS('Unos rashoda i izdataka'!$K$3:$K$498,'Unos rashoda i izdataka'!$C$3:$C$498,"=581",'Unos rashoda i izdataka'!$P$3:$P$498,"=36")+SUMIFS('Unos rashoda P4'!$I$3:$I$496,'Unos rashoda P4'!$A$3:$A$496,"=581",'Unos rashoda P4'!$S$3:$S$496,"=36")</f>
        <v>0</v>
      </c>
      <c r="S46" s="61">
        <f>SUMIFS('Unos rashoda i izdataka'!$K$3:$K$498,'Unos rashoda i izdataka'!$C$3:$C$498,"=61",'Unos rashoda i izdataka'!$P$3:$P$498,"=36")+SUMIFS('Unos rashoda P4'!$I$3:$I$496,'Unos rashoda P4'!$A$3:$A$496,"=61",'Unos rashoda P4'!$S$3:$S$496,"=36")</f>
        <v>0</v>
      </c>
      <c r="T46" s="61">
        <f>SUMIFS('Unos rashoda i izdataka'!$K$3:$K$498,'Unos rashoda i izdataka'!$C$3:$C$498,"=63",'Unos rashoda i izdataka'!$P$3:$P$498,"=36")+SUMIFS('Unos rashoda P4'!$I$3:$I$496,'Unos rashoda P4'!$A$3:$A$496,"=63",'Unos rashoda P4'!$S$3:$S$496,"=36")</f>
        <v>0</v>
      </c>
      <c r="U46" s="61">
        <f>SUMIFS('Unos rashoda i izdataka'!$K$3:$K$498,'Unos rashoda i izdataka'!$C$3:$C$498,"=71",'Unos rashoda i izdataka'!$P$3:$P$498,"=36")+SUMIFS('Unos rashoda P4'!$I$3:$I$496,'Unos rashoda P4'!$A$3:$A$496,"=71",'Unos rashoda P4'!$S$3:$S$496,"=36")</f>
        <v>0</v>
      </c>
      <c r="V46" s="61">
        <f>SUMIFS('Unos rashoda i izdataka'!$K$3:$K$498,'Unos rashoda i izdataka'!$C$3:$C$498,"=81",'Unos rashoda i izdataka'!$P$3:$P$498,"=36")+SUMIFS('Unos rashoda P4'!$I$3:$I$496,'Unos rashoda P4'!$A$3:$A$496,"=81",'Unos rashoda P4'!$S$3:$S$496,"=36")</f>
        <v>0</v>
      </c>
    </row>
    <row r="47" spans="1:22" s="12" customFormat="1" ht="12.6" customHeight="1">
      <c r="A47" s="255">
        <v>37</v>
      </c>
      <c r="B47" s="9" t="s">
        <v>3581</v>
      </c>
      <c r="C47" s="58">
        <f t="shared" si="5"/>
        <v>0</v>
      </c>
      <c r="D47" s="61">
        <f>SUMIFS('Unos rashoda i izdataka'!$K$3:$K$498,'Unos rashoda i izdataka'!$C$3:$C$498,"=11",'Unos rashoda i izdataka'!$P$3:$P$498,"=37")+SUMIFS('Unos rashoda P4'!$I$3:$I$496,'Unos rashoda P4'!$A$3:$A$496,"=11",'Unos rashoda P4'!$S$3:$S$496,"=37")</f>
        <v>0</v>
      </c>
      <c r="E47" s="61">
        <f>SUMIFS('Unos rashoda i izdataka'!$K$3:$K$498,'Unos rashoda i izdataka'!$C$3:$C$498,"=12",'Unos rashoda i izdataka'!$P$3:$P$498,"=37")+SUMIFS('Unos rashoda P4'!$I$3:$I$496,'Unos rashoda P4'!$A$3:$A$496,"=12",'Unos rashoda P4'!$S$3:$S$496,"=37")</f>
        <v>0</v>
      </c>
      <c r="F47" s="61">
        <f>SUMIFS('Unos rashoda i izdataka'!$K$3:$K$498,'Unos rashoda i izdataka'!$C$3:$C$498,"=31",'Unos rashoda i izdataka'!$P$3:$P$498,"=37")+SUMIFS('Unos rashoda P4'!$I$3:$I$496,'Unos rashoda P4'!$A$3:$A$496,"=31",'Unos rashoda P4'!$S$3:$S$496,"=37")</f>
        <v>0</v>
      </c>
      <c r="G47" s="61">
        <f>SUMIFS('Unos rashoda i izdataka'!$K$3:$K$498,'Unos rashoda i izdataka'!$C$3:$C$498,"=41",'Unos rashoda i izdataka'!$P$3:$P$498,"=37")+SUMIFS('Unos rashoda P4'!$I$3:$I$496,'Unos rashoda P4'!$A$3:$A$496,"=41",'Unos rashoda P4'!$S$3:$S$496,"=37")</f>
        <v>0</v>
      </c>
      <c r="H47" s="61">
        <f>SUMIFS('Unos rashoda i izdataka'!$K$3:$K$498,'Unos rashoda i izdataka'!$C$3:$C$498,"=43",'Unos rashoda i izdataka'!$P$3:$P$498,"=37")+SUMIFS('Unos rashoda P4'!$I$3:$I$496,'Unos rashoda P4'!$A$3:$A$496,"=43",'Unos rashoda P4'!$S$3:$S$496,"=37")</f>
        <v>0</v>
      </c>
      <c r="I47" s="61">
        <f>SUMIFS('Unos rashoda i izdataka'!$K$3:$K$498,'Unos rashoda i izdataka'!$C$3:$C$498,"=51",'Unos rashoda i izdataka'!$P$3:$P$498,"=37")+SUMIFS('Unos rashoda P4'!$I$3:$I$496,'Unos rashoda P4'!$A$3:$A$496,"=51",'Unos rashoda P4'!$S$3:$S$496,"=37")</f>
        <v>0</v>
      </c>
      <c r="J47" s="61">
        <f>SUMIFS('Unos rashoda i izdataka'!$K$3:$K$498,'Unos rashoda i izdataka'!$C$3:$C$498,"=52",'Unos rashoda i izdataka'!$P$3:$P$498,"=37")+SUMIFS('Unos rashoda P4'!$I$3:$I$496,'Unos rashoda P4'!$A$3:$A$496,"=52",'Unos rashoda P4'!$S$3:$S$496,"=37")</f>
        <v>0</v>
      </c>
      <c r="K47" s="61">
        <f>SUMIFS('Unos rashoda i izdataka'!$K$3:$K$498,'Unos rashoda i izdataka'!$C$3:$C$498,"=552",'Unos rashoda i izdataka'!$P$3:$P$498,"=37")+SUMIFS('Unos rashoda P4'!$I$3:$I$496,'Unos rashoda P4'!$A$3:$A$496,"=552",'Unos rashoda P4'!$S$3:$S$496,"=37")</f>
        <v>0</v>
      </c>
      <c r="L47" s="61">
        <f>SUMIFS('Unos rashoda i izdataka'!$K$3:$K$498,'Unos rashoda i izdataka'!$C$3:$C$498,"=559",'Unos rashoda i izdataka'!$P$3:$P$498,"=37")+SUMIFS('Unos rashoda P4'!$I$3:$I$496,'Unos rashoda P4'!$A$3:$A$496,"=559",'Unos rashoda P4'!$S$3:$S$496,"=37")</f>
        <v>0</v>
      </c>
      <c r="M47" s="61">
        <f>SUMIFS('Unos rashoda i izdataka'!$K$3:$K$498,'Unos rashoda i izdataka'!$C$3:$C$498,"=561",'Unos rashoda i izdataka'!$P$3:$P$498,"=37")+SUMIFS('Unos rashoda P4'!$I$3:$I$496,'Unos rashoda P4'!$A$3:$A$496,"=561",'Unos rashoda P4'!$S$3:$S$496,"=37")</f>
        <v>0</v>
      </c>
      <c r="N47" s="61">
        <f>SUMIFS('Unos rashoda i izdataka'!$K$3:$K$498,'Unos rashoda i izdataka'!$C$3:$C$498,"=563",'Unos rashoda i izdataka'!$P$3:$P$498,"=37")+SUMIFS('Unos rashoda P4'!$I$3:$I$496,'Unos rashoda P4'!$A$3:$A$496,"=563",'Unos rashoda P4'!$S$3:$S$496,"=37")</f>
        <v>0</v>
      </c>
      <c r="O47" s="61">
        <f>SUMIFS('Unos rashoda i izdataka'!$K$3:$K$498,'Unos rashoda i izdataka'!$C$3:$C$498,"=573",'Unos rashoda i izdataka'!$P$3:$P$498,"=37")+SUMIFS('Unos rashoda P4'!$I$3:$I$496,'Unos rashoda P4'!$A$3:$A$496,"=573",'Unos rashoda P4'!$S$3:$S$496,"=37")</f>
        <v>0</v>
      </c>
      <c r="P47" s="61">
        <f>SUMIFS('Unos rashoda i izdataka'!$K$3:$K$498,'Unos rashoda i izdataka'!$C$3:$C$498,"=575",'Unos rashoda i izdataka'!$P$3:$P$498,"=37")+SUMIFS('Unos rashoda P4'!$I$3:$I$496,'Unos rashoda P4'!$A$3:$A$496,"=575",'Unos rashoda P4'!$S$3:$S$496,"=37")</f>
        <v>0</v>
      </c>
      <c r="Q47" s="61">
        <f>SUMIFS('Unos rashoda i izdataka'!$K$3:$K$498,'Unos rashoda i izdataka'!$Q$3:$Q$498,"=576",'Unos rashoda i izdataka'!$P$3:$P$498,"=37")+SUMIFS('Unos rashoda P4'!$I$3:$I$496,'Unos rashoda P4'!$A$3:$A$496,"=576",'Unos rashoda P4'!$S$3:$S$496,"=37")</f>
        <v>0</v>
      </c>
      <c r="R47" s="61">
        <f>SUMIFS('Unos rashoda i izdataka'!$K$3:$K$498,'Unos rashoda i izdataka'!$C$3:$C$498,"=581",'Unos rashoda i izdataka'!$P$3:$P$498,"=37")+SUMIFS('Unos rashoda P4'!$I$3:$I$496,'Unos rashoda P4'!$A$3:$A$496,"=581",'Unos rashoda P4'!$S$3:$S$496,"=37")</f>
        <v>0</v>
      </c>
      <c r="S47" s="61">
        <f>SUMIFS('Unos rashoda i izdataka'!$K$3:$K$498,'Unos rashoda i izdataka'!$C$3:$C$498,"=61",'Unos rashoda i izdataka'!$P$3:$P$498,"=37")+SUMIFS('Unos rashoda P4'!$I$3:$I$496,'Unos rashoda P4'!$A$3:$A$496,"=61",'Unos rashoda P4'!$S$3:$S$496,"=37")</f>
        <v>0</v>
      </c>
      <c r="T47" s="61">
        <f>SUMIFS('Unos rashoda i izdataka'!$K$3:$K$498,'Unos rashoda i izdataka'!$C$3:$C$498,"=63",'Unos rashoda i izdataka'!$P$3:$P$498,"=37")+SUMIFS('Unos rashoda P4'!$I$3:$I$496,'Unos rashoda P4'!$A$3:$A$496,"=63",'Unos rashoda P4'!$S$3:$S$496,"=37")</f>
        <v>0</v>
      </c>
      <c r="U47" s="61">
        <f>SUMIFS('Unos rashoda i izdataka'!$K$3:$K$498,'Unos rashoda i izdataka'!$C$3:$C$498,"=71",'Unos rashoda i izdataka'!$P$3:$P$498,"=37")+SUMIFS('Unos rashoda P4'!$I$3:$I$496,'Unos rashoda P4'!$A$3:$A$496,"=71",'Unos rashoda P4'!$S$3:$S$496,"=37")</f>
        <v>0</v>
      </c>
      <c r="V47" s="61">
        <f>SUMIFS('Unos rashoda i izdataka'!$K$3:$K$498,'Unos rashoda i izdataka'!$C$3:$C$498,"=81",'Unos rashoda i izdataka'!$P$3:$P$498,"=37")+SUMIFS('Unos rashoda P4'!$I$3:$I$496,'Unos rashoda P4'!$A$3:$A$496,"=81",'Unos rashoda P4'!$S$3:$S$496,"=37")</f>
        <v>0</v>
      </c>
    </row>
    <row r="48" spans="1:22" s="12" customFormat="1" ht="12.6" customHeight="1">
      <c r="A48" s="255">
        <v>38</v>
      </c>
      <c r="B48" s="9" t="s">
        <v>3582</v>
      </c>
      <c r="C48" s="58">
        <f t="shared" si="5"/>
        <v>22353</v>
      </c>
      <c r="D48" s="61">
        <f>SUMIFS('Unos rashoda i izdataka'!$K$3:$K$498,'Unos rashoda i izdataka'!$C$3:$C$498,"=11",'Unos rashoda i izdataka'!$P$3:$P$498,"=38")+SUMIFS('Unos rashoda P4'!$I$3:$I$496,'Unos rashoda P4'!$A$3:$A$496,"=11",'Unos rashoda P4'!$S$3:$S$496,"=38")</f>
        <v>22353</v>
      </c>
      <c r="E48" s="61">
        <f>SUMIFS('Unos rashoda i izdataka'!$K$3:$K$498,'Unos rashoda i izdataka'!$C$3:$C$498,"=12",'Unos rashoda i izdataka'!$P$3:$P$498,"=38")+SUMIFS('Unos rashoda P4'!$I$3:$I$496,'Unos rashoda P4'!$A$3:$A$496,"=12",'Unos rashoda P4'!$S$3:$S$496,"=38")</f>
        <v>0</v>
      </c>
      <c r="F48" s="61">
        <f>SUMIFS('Unos rashoda i izdataka'!$K$3:$K$498,'Unos rashoda i izdataka'!$C$3:$C$498,"=31",'Unos rashoda i izdataka'!$P$3:$P$498,"=38")+SUMIFS('Unos rashoda P4'!$I$3:$I$496,'Unos rashoda P4'!$A$3:$A$496,"=31",'Unos rashoda P4'!$S$3:$S$496,"=38")</f>
        <v>0</v>
      </c>
      <c r="G48" s="61">
        <f>SUMIFS('Unos rashoda i izdataka'!$K$3:$K$498,'Unos rashoda i izdataka'!$C$3:$C$498,"=41",'Unos rashoda i izdataka'!$P$3:$P$498,"=38")+SUMIFS('Unos rashoda P4'!$I$3:$I$496,'Unos rashoda P4'!$A$3:$A$496,"=41",'Unos rashoda P4'!$S$3:$S$496,"=38")</f>
        <v>0</v>
      </c>
      <c r="H48" s="61">
        <f>SUMIFS('Unos rashoda i izdataka'!$K$3:$K$498,'Unos rashoda i izdataka'!$C$3:$C$498,"=43",'Unos rashoda i izdataka'!$P$3:$P$498,"=38")+SUMIFS('Unos rashoda P4'!$I$3:$I$496,'Unos rashoda P4'!$A$3:$A$496,"=43",'Unos rashoda P4'!$S$3:$S$496,"=38")</f>
        <v>0</v>
      </c>
      <c r="I48" s="61">
        <f>SUMIFS('Unos rashoda i izdataka'!$K$3:$K$498,'Unos rashoda i izdataka'!$C$3:$C$498,"=51",'Unos rashoda i izdataka'!$P$3:$P$498,"=38")+SUMIFS('Unos rashoda P4'!$I$3:$I$496,'Unos rashoda P4'!$A$3:$A$496,"=51",'Unos rashoda P4'!$S$3:$S$496,"=38")</f>
        <v>0</v>
      </c>
      <c r="J48" s="61">
        <f>SUMIFS('Unos rashoda i izdataka'!$K$3:$K$498,'Unos rashoda i izdataka'!$C$3:$C$498,"=52",'Unos rashoda i izdataka'!$P$3:$P$498,"=38")+SUMIFS('Unos rashoda P4'!$I$3:$I$496,'Unos rashoda P4'!$A$3:$A$496,"=52",'Unos rashoda P4'!$S$3:$S$496,"=38")</f>
        <v>0</v>
      </c>
      <c r="K48" s="61">
        <f>SUMIFS('Unos rashoda i izdataka'!$K$3:$K$498,'Unos rashoda i izdataka'!$C$3:$C$498,"=552",'Unos rashoda i izdataka'!$P$3:$P$498,"=38")+SUMIFS('Unos rashoda P4'!$I$3:$I$496,'Unos rashoda P4'!$A$3:$A$496,"=552",'Unos rashoda P4'!$S$3:$S$496,"=38")</f>
        <v>0</v>
      </c>
      <c r="L48" s="61">
        <f>SUMIFS('Unos rashoda i izdataka'!$K$3:$K$498,'Unos rashoda i izdataka'!$C$3:$C$498,"=559",'Unos rashoda i izdataka'!$P$3:$P$498,"=38")+SUMIFS('Unos rashoda P4'!$I$3:$I$496,'Unos rashoda P4'!$A$3:$A$496,"=559",'Unos rashoda P4'!$S$3:$S$496,"=38")</f>
        <v>0</v>
      </c>
      <c r="M48" s="61">
        <f>SUMIFS('Unos rashoda i izdataka'!$K$3:$K$498,'Unos rashoda i izdataka'!$C$3:$C$498,"=561",'Unos rashoda i izdataka'!$P$3:$P$498,"=38")+SUMIFS('Unos rashoda P4'!$I$3:$I$496,'Unos rashoda P4'!$A$3:$A$496,"=561",'Unos rashoda P4'!$S$3:$S$496,"=38")</f>
        <v>0</v>
      </c>
      <c r="N48" s="61">
        <f>SUMIFS('Unos rashoda i izdataka'!$K$3:$K$498,'Unos rashoda i izdataka'!$C$3:$C$498,"=563",'Unos rashoda i izdataka'!$P$3:$P$498,"=38")+SUMIFS('Unos rashoda P4'!$I$3:$I$496,'Unos rashoda P4'!$A$3:$A$496,"=563",'Unos rashoda P4'!$S$3:$S$496,"=38")</f>
        <v>0</v>
      </c>
      <c r="O48" s="61">
        <f>SUMIFS('Unos rashoda i izdataka'!$K$3:$K$498,'Unos rashoda i izdataka'!$C$3:$C$498,"=573",'Unos rashoda i izdataka'!$P$3:$P$498,"=38")+SUMIFS('Unos rashoda P4'!$I$3:$I$496,'Unos rashoda P4'!$A$3:$A$496,"=573",'Unos rashoda P4'!$S$3:$S$496,"=38")</f>
        <v>0</v>
      </c>
      <c r="P48" s="61">
        <f>SUMIFS('Unos rashoda i izdataka'!$K$3:$K$498,'Unos rashoda i izdataka'!$C$3:$C$498,"=575",'Unos rashoda i izdataka'!$P$3:$P$498,"=38")+SUMIFS('Unos rashoda P4'!$I$3:$I$496,'Unos rashoda P4'!$A$3:$A$496,"=575",'Unos rashoda P4'!$S$3:$S$496,"=38")</f>
        <v>0</v>
      </c>
      <c r="Q48" s="61">
        <f>SUMIFS('Unos rashoda i izdataka'!$K$3:$K$498,'Unos rashoda i izdataka'!$Q$3:$Q$498,"=576",'Unos rashoda i izdataka'!$P$3:$P$498,"=38")+SUMIFS('Unos rashoda P4'!$I$3:$I$496,'Unos rashoda P4'!$A$3:$A$496,"=576",'Unos rashoda P4'!$S$3:$S$496,"=38")</f>
        <v>0</v>
      </c>
      <c r="R48" s="61">
        <f>SUMIFS('Unos rashoda i izdataka'!$K$3:$K$498,'Unos rashoda i izdataka'!$C$3:$C$498,"=581",'Unos rashoda i izdataka'!$P$3:$P$498,"=38")+SUMIFS('Unos rashoda P4'!$I$3:$I$496,'Unos rashoda P4'!$A$3:$A$496,"=581",'Unos rashoda P4'!$S$3:$S$496,"=38")</f>
        <v>0</v>
      </c>
      <c r="S48" s="61">
        <f>SUMIFS('Unos rashoda i izdataka'!$K$3:$K$498,'Unos rashoda i izdataka'!$C$3:$C$498,"=61",'Unos rashoda i izdataka'!$P$3:$P$498,"=38")+SUMIFS('Unos rashoda P4'!$I$3:$I$496,'Unos rashoda P4'!$A$3:$A$496,"=61",'Unos rashoda P4'!$S$3:$S$496,"=38")</f>
        <v>0</v>
      </c>
      <c r="T48" s="61">
        <f>SUMIFS('Unos rashoda i izdataka'!$K$3:$K$498,'Unos rashoda i izdataka'!$C$3:$C$498,"=63",'Unos rashoda i izdataka'!$P$3:$P$498,"=38")+SUMIFS('Unos rashoda P4'!$I$3:$I$496,'Unos rashoda P4'!$A$3:$A$496,"=63",'Unos rashoda P4'!$S$3:$S$496,"=38")</f>
        <v>0</v>
      </c>
      <c r="U48" s="61">
        <f>SUMIFS('Unos rashoda i izdataka'!$K$3:$K$498,'Unos rashoda i izdataka'!$C$3:$C$498,"=71",'Unos rashoda i izdataka'!$P$3:$P$498,"=38")+SUMIFS('Unos rashoda P4'!$I$3:$I$496,'Unos rashoda P4'!$A$3:$A$496,"=71",'Unos rashoda P4'!$S$3:$S$496,"=38")</f>
        <v>0</v>
      </c>
      <c r="V48" s="61">
        <f>SUMIFS('Unos rashoda i izdataka'!$K$3:$K$498,'Unos rashoda i izdataka'!$C$3:$C$498,"=81",'Unos rashoda i izdataka'!$P$3:$P$498,"=38")+SUMIFS('Unos rashoda P4'!$I$3:$I$496,'Unos rashoda P4'!$A$3:$A$496,"=81",'Unos rashoda P4'!$S$3:$S$496,"=38")</f>
        <v>0</v>
      </c>
    </row>
    <row r="49" spans="1:22" s="13" customFormat="1" ht="12.6" customHeight="1">
      <c r="A49" s="256">
        <v>4</v>
      </c>
      <c r="B49" s="54" t="s">
        <v>3583</v>
      </c>
      <c r="C49" s="53">
        <f t="shared" si="5"/>
        <v>1967518</v>
      </c>
      <c r="D49" s="56">
        <f>+D50+D51+D52+D53+D54</f>
        <v>87780</v>
      </c>
      <c r="E49" s="56">
        <f t="shared" ref="E49" si="8">+E50+E51+E52+E53+E54</f>
        <v>0</v>
      </c>
      <c r="F49" s="56">
        <f t="shared" ref="F49" si="9">+F50+F51+F52+F53+F54</f>
        <v>6735</v>
      </c>
      <c r="G49" s="56">
        <f t="shared" ref="G49" si="10">+G50+G51+G52+G53+G54</f>
        <v>0</v>
      </c>
      <c r="H49" s="56">
        <f t="shared" ref="H49" si="11">+H50+H51+H52+H53+H54</f>
        <v>73007</v>
      </c>
      <c r="I49" s="56">
        <f t="shared" ref="I49" si="12">+I50+I51+I52+I53+I54</f>
        <v>0</v>
      </c>
      <c r="J49" s="56">
        <f t="shared" ref="J49" si="13">+J50+J51+J52+J53+J54</f>
        <v>1738669</v>
      </c>
      <c r="K49" s="56">
        <f t="shared" ref="K49" si="14">+K50+K51+K52+K53+K54</f>
        <v>0</v>
      </c>
      <c r="L49" s="56">
        <f t="shared" ref="L49" si="15">+L50+L51+L52+L53+L54</f>
        <v>0</v>
      </c>
      <c r="M49" s="56">
        <f t="shared" ref="M49" si="16">+M50+M51+M52+M53+M54</f>
        <v>0</v>
      </c>
      <c r="N49" s="56">
        <f t="shared" ref="N49" si="17">+N50+N51+N52+N53+N54</f>
        <v>0</v>
      </c>
      <c r="O49" s="56">
        <f t="shared" ref="O49" si="18">+O50+O51+O52+O53+O54</f>
        <v>0</v>
      </c>
      <c r="P49" s="56">
        <f t="shared" ref="P49" si="19">+P50+P51+P52+P53+P54</f>
        <v>0</v>
      </c>
      <c r="Q49" s="56">
        <f t="shared" ref="Q49" si="20">+Q50+Q51+Q52+Q53+Q54</f>
        <v>0</v>
      </c>
      <c r="R49" s="56">
        <f t="shared" ref="R49" si="21">+R50+R51+R52+R53+R54</f>
        <v>0</v>
      </c>
      <c r="S49" s="56">
        <f t="shared" ref="S49" si="22">+S50+S51+S52+S53+S54</f>
        <v>60000</v>
      </c>
      <c r="T49" s="56">
        <f t="shared" ref="T49" si="23">+T50+T51+T52+T53+T54</f>
        <v>0</v>
      </c>
      <c r="U49" s="56">
        <f t="shared" ref="U49" si="24">+U50+U51+U52+U53+U54</f>
        <v>1327</v>
      </c>
      <c r="V49" s="56">
        <f t="shared" ref="V49" si="25">+V50+V51+V52+V53+V54</f>
        <v>0</v>
      </c>
    </row>
    <row r="50" spans="1:22" s="8" customFormat="1" ht="12.6" customHeight="1">
      <c r="A50" s="254">
        <v>41</v>
      </c>
      <c r="B50" s="7" t="s">
        <v>3584</v>
      </c>
      <c r="C50" s="58">
        <f t="shared" si="5"/>
        <v>1759035</v>
      </c>
      <c r="D50" s="61">
        <f>SUMIFS('Unos rashoda i izdataka'!$K$3:$K$498,'Unos rashoda i izdataka'!$C$3:$C$498,"=11",'Unos rashoda i izdataka'!$P$3:$P$498,"=41")+SUMIFS('Unos rashoda P4'!$I$3:$I$496,'Unos rashoda P4'!$A$3:$A$496,"=11",'Unos rashoda P4'!$S$3:$S$496,"=41")</f>
        <v>40000</v>
      </c>
      <c r="E50" s="61">
        <f>SUMIFS('Unos rashoda i izdataka'!$K$3:$K$498,'Unos rashoda i izdataka'!$C$3:$C$498,"=12",'Unos rashoda i izdataka'!$P$3:$P$498,"=41")+SUMIFS('Unos rashoda P4'!$I$3:$I$496,'Unos rashoda P4'!$A$3:$A$496,"=12",'Unos rashoda P4'!$S$3:$S$496,"=41")</f>
        <v>0</v>
      </c>
      <c r="F50" s="61">
        <f>SUMIFS('Unos rashoda i izdataka'!$K$3:$K$498,'Unos rashoda i izdataka'!$C$3:$C$498,"=31",'Unos rashoda i izdataka'!$P$3:$P$498,"=41")+SUMIFS('Unos rashoda P4'!$I$3:$I$496,'Unos rashoda P4'!$A$3:$A$496,"=31",'Unos rashoda P4'!$S$3:$S$496,"=41")</f>
        <v>0</v>
      </c>
      <c r="G50" s="61">
        <f>SUMIFS('Unos rashoda i izdataka'!$K$3:$K$498,'Unos rashoda i izdataka'!$C$3:$C$498,"=41",'Unos rashoda i izdataka'!$P$3:$P$498,"=41")+SUMIFS('Unos rashoda P4'!$I$3:$I$496,'Unos rashoda P4'!$A$3:$A$496,"=41",'Unos rashoda P4'!$S$3:$S$496,"=41")</f>
        <v>0</v>
      </c>
      <c r="H50" s="61">
        <f>SUMIFS('Unos rashoda i izdataka'!$K$3:$K$498,'Unos rashoda i izdataka'!$C$3:$C$498,"=43",'Unos rashoda i izdataka'!$P$3:$P$498,"=41")+SUMIFS('Unos rashoda P4'!$I$3:$I$496,'Unos rashoda P4'!$A$3:$A$496,"=43",'Unos rashoda P4'!$S$3:$S$496,"=41")</f>
        <v>0</v>
      </c>
      <c r="I50" s="61">
        <f>SUMIFS('Unos rashoda i izdataka'!$K$3:$K$498,'Unos rashoda i izdataka'!$C$3:$C$498,"=51",'Unos rashoda i izdataka'!$P$3:$P$498,"=41")+SUMIFS('Unos rashoda P4'!$I$3:$I$496,'Unos rashoda P4'!$A$3:$A$496,"=51",'Unos rashoda P4'!$S$3:$S$496,"=41")</f>
        <v>0</v>
      </c>
      <c r="J50" s="61">
        <f>SUMIFS('Unos rashoda i izdataka'!$K$3:$K$498,'Unos rashoda i izdataka'!$C$3:$C$498,"=52",'Unos rashoda i izdataka'!$P$3:$P$498,"=41")+SUMIFS('Unos rashoda P4'!$I$3:$I$496,'Unos rashoda P4'!$A$3:$A$496,"=52",'Unos rashoda P4'!$S$3:$S$496,"=41")</f>
        <v>1659035</v>
      </c>
      <c r="K50" s="61">
        <f>SUMIFS('Unos rashoda i izdataka'!$K$3:$K$498,'Unos rashoda i izdataka'!$C$3:$C$498,"=552",'Unos rashoda i izdataka'!$P$3:$P$498,"=41")+SUMIFS('Unos rashoda P4'!$I$3:$I$496,'Unos rashoda P4'!$A$3:$A$496,"=552",'Unos rashoda P4'!$S$3:$S$496,"=41")</f>
        <v>0</v>
      </c>
      <c r="L50" s="61">
        <f>SUMIFS('Unos rashoda i izdataka'!$K$3:$K$498,'Unos rashoda i izdataka'!$C$3:$C$498,"=559",'Unos rashoda i izdataka'!$P$3:$P$498,"=41")+SUMIFS('Unos rashoda P4'!$I$3:$I$496,'Unos rashoda P4'!$A$3:$A$496,"=559",'Unos rashoda P4'!$S$3:$S$496,"=41")</f>
        <v>0</v>
      </c>
      <c r="M50" s="61">
        <f>SUMIFS('Unos rashoda i izdataka'!$K$3:$K$498,'Unos rashoda i izdataka'!$C$3:$C$498,"=561",'Unos rashoda i izdataka'!$P$3:$P$498,"=41")+SUMIFS('Unos rashoda P4'!$I$3:$I$496,'Unos rashoda P4'!$A$3:$A$496,"=561",'Unos rashoda P4'!$S$3:$S$496,"=41")</f>
        <v>0</v>
      </c>
      <c r="N50" s="61">
        <f>SUMIFS('Unos rashoda i izdataka'!$K$3:$K$498,'Unos rashoda i izdataka'!$C$3:$C$498,"=563",'Unos rashoda i izdataka'!$P$3:$P$498,"=41")+SUMIFS('Unos rashoda P4'!$I$3:$I$496,'Unos rashoda P4'!$A$3:$A$496,"=563",'Unos rashoda P4'!$S$3:$S$496,"=41")</f>
        <v>0</v>
      </c>
      <c r="O50" s="61">
        <f>SUMIFS('Unos rashoda i izdataka'!$K$3:$K$498,'Unos rashoda i izdataka'!$C$3:$C$498,"=573",'Unos rashoda i izdataka'!$P$3:$P$498,"=41")+SUMIFS('Unos rashoda P4'!$I$3:$I$496,'Unos rashoda P4'!$A$3:$A$496,"=573",'Unos rashoda P4'!$S$3:$S$496,"=41")</f>
        <v>0</v>
      </c>
      <c r="P50" s="61">
        <f>SUMIFS('Unos rashoda i izdataka'!$K$3:$K$498,'Unos rashoda i izdataka'!$C$3:$C$498,"=575",'Unos rashoda i izdataka'!$P$3:$P$498,"=41")+SUMIFS('Unos rashoda P4'!$I$3:$I$496,'Unos rashoda P4'!$A$3:$A$496,"=575",'Unos rashoda P4'!$S$3:$S$496,"=41")</f>
        <v>0</v>
      </c>
      <c r="Q50" s="61">
        <f>SUMIFS('Unos rashoda i izdataka'!$K$3:$K$498,'Unos rashoda i izdataka'!$Q$3:$Q$498,"=576",'Unos rashoda i izdataka'!$P$3:$P$498,"=41")+SUMIFS('Unos rashoda P4'!$I$3:$I$496,'Unos rashoda P4'!$A$3:$A$496,"=576",'Unos rashoda P4'!$S$3:$S$496,"=41")</f>
        <v>0</v>
      </c>
      <c r="R50" s="61">
        <f>SUMIFS('Unos rashoda i izdataka'!$K$3:$K$498,'Unos rashoda i izdataka'!$C$3:$C$498,"=581",'Unos rashoda i izdataka'!$P$3:$P$498,"=41")+SUMIFS('Unos rashoda P4'!$I$3:$I$496,'Unos rashoda P4'!$A$3:$A$496,"=581",'Unos rashoda P4'!$S$3:$S$496,"=41")</f>
        <v>0</v>
      </c>
      <c r="S50" s="61">
        <f>SUMIFS('Unos rashoda i izdataka'!$K$3:$K$498,'Unos rashoda i izdataka'!$C$3:$C$498,"=61",'Unos rashoda i izdataka'!$P$3:$P$498,"=41")+SUMIFS('Unos rashoda P4'!$I$3:$I$496,'Unos rashoda P4'!$A$3:$A$496,"=61",'Unos rashoda P4'!$S$3:$S$496,"=41")</f>
        <v>60000</v>
      </c>
      <c r="T50" s="61">
        <f>SUMIFS('Unos rashoda i izdataka'!$K$3:$K$498,'Unos rashoda i izdataka'!$C$3:$C$498,"=63",'Unos rashoda i izdataka'!$P$3:$P$498,"=41")+SUMIFS('Unos rashoda P4'!$I$3:$I$496,'Unos rashoda P4'!$A$3:$A$496,"=63",'Unos rashoda P4'!$S$3:$S$496,"=41")</f>
        <v>0</v>
      </c>
      <c r="U50" s="61">
        <f>SUMIFS('Unos rashoda i izdataka'!$K$3:$K$498,'Unos rashoda i izdataka'!$C$3:$C$498,"=71",'Unos rashoda i izdataka'!$P$3:$P$498,"=41")+SUMIFS('Unos rashoda P4'!$I$3:$I$496,'Unos rashoda P4'!$A$3:$A$496,"=71",'Unos rashoda P4'!$S$3:$S$496,"=41")</f>
        <v>0</v>
      </c>
      <c r="V50" s="61">
        <f>SUMIFS('Unos rashoda i izdataka'!$K$3:$K$498,'Unos rashoda i izdataka'!$C$3:$C$498,"=81",'Unos rashoda i izdataka'!$P$3:$P$498,"=41")+SUMIFS('Unos rashoda P4'!$I$3:$I$496,'Unos rashoda P4'!$A$3:$A$496,"=81",'Unos rashoda P4'!$S$3:$S$496,"=41")</f>
        <v>0</v>
      </c>
    </row>
    <row r="51" spans="1:22" s="12" customFormat="1" ht="12.6" customHeight="1">
      <c r="A51" s="255">
        <v>42</v>
      </c>
      <c r="B51" s="9" t="s">
        <v>3585</v>
      </c>
      <c r="C51" s="58">
        <f t="shared" si="5"/>
        <v>128849</v>
      </c>
      <c r="D51" s="61">
        <f>SUMIFS('Unos rashoda i izdataka'!$K$3:$K$498,'Unos rashoda i izdataka'!$C$3:$C$498,"=11",'Unos rashoda i izdataka'!$P$3:$P$498,"=42")+SUMIFS('Unos rashoda P4'!$I$3:$I$496,'Unos rashoda P4'!$A$3:$A$496,"=11",'Unos rashoda P4'!$S$3:$S$496,"=42")</f>
        <v>47780</v>
      </c>
      <c r="E51" s="61">
        <f>SUMIFS('Unos rashoda i izdataka'!$K$3:$K$498,'Unos rashoda i izdataka'!$C$3:$C$498,"=12",'Unos rashoda i izdataka'!$P$3:$P$498,"=42")+SUMIFS('Unos rashoda P4'!$I$3:$I$496,'Unos rashoda P4'!$A$3:$A$496,"=12",'Unos rashoda P4'!$S$3:$S$496,"=42")</f>
        <v>0</v>
      </c>
      <c r="F51" s="61">
        <f>SUMIFS('Unos rashoda i izdataka'!$K$3:$K$498,'Unos rashoda i izdataka'!$C$3:$C$498,"=31",'Unos rashoda i izdataka'!$P$3:$P$498,"=42")+SUMIFS('Unos rashoda P4'!$I$3:$I$496,'Unos rashoda P4'!$A$3:$A$496,"=31",'Unos rashoda P4'!$S$3:$S$496,"=42")</f>
        <v>6735</v>
      </c>
      <c r="G51" s="61">
        <f>SUMIFS('Unos rashoda i izdataka'!$K$3:$K$498,'Unos rashoda i izdataka'!$C$3:$C$498,"=41",'Unos rashoda i izdataka'!$P$3:$P$498,"=42")+SUMIFS('Unos rashoda P4'!$I$3:$I$496,'Unos rashoda P4'!$A$3:$A$496,"=41",'Unos rashoda P4'!$S$3:$S$496,"=42")</f>
        <v>0</v>
      </c>
      <c r="H51" s="61">
        <f>SUMIFS('Unos rashoda i izdataka'!$K$3:$K$498,'Unos rashoda i izdataka'!$C$3:$C$498,"=43",'Unos rashoda i izdataka'!$P$3:$P$498,"=42")+SUMIFS('Unos rashoda P4'!$I$3:$I$496,'Unos rashoda P4'!$A$3:$A$496,"=43",'Unos rashoda P4'!$S$3:$S$496,"=42")</f>
        <v>73007</v>
      </c>
      <c r="I51" s="61">
        <f>SUMIFS('Unos rashoda i izdataka'!$K$3:$K$498,'Unos rashoda i izdataka'!$C$3:$C$498,"=51",'Unos rashoda i izdataka'!$P$3:$P$498,"=42")+SUMIFS('Unos rashoda P4'!$I$3:$I$496,'Unos rashoda P4'!$A$3:$A$496,"=51",'Unos rashoda P4'!$S$3:$S$496,"=42")</f>
        <v>0</v>
      </c>
      <c r="J51" s="61">
        <f>SUMIFS('Unos rashoda i izdataka'!$K$3:$K$498,'Unos rashoda i izdataka'!$C$3:$C$498,"=52",'Unos rashoda i izdataka'!$P$3:$P$498,"=42")+SUMIFS('Unos rashoda P4'!$I$3:$I$496,'Unos rashoda P4'!$A$3:$A$496,"=52",'Unos rashoda P4'!$S$3:$S$496,"=42")</f>
        <v>0</v>
      </c>
      <c r="K51" s="61">
        <f>SUMIFS('Unos rashoda i izdataka'!$K$3:$K$498,'Unos rashoda i izdataka'!$C$3:$C$498,"=552",'Unos rashoda i izdataka'!$P$3:$P$498,"=42")+SUMIFS('Unos rashoda P4'!$I$3:$I$496,'Unos rashoda P4'!$A$3:$A$496,"=552",'Unos rashoda P4'!$S$3:$S$496,"=42")</f>
        <v>0</v>
      </c>
      <c r="L51" s="61">
        <f>SUMIFS('Unos rashoda i izdataka'!$K$3:$K$498,'Unos rashoda i izdataka'!$C$3:$C$498,"=559",'Unos rashoda i izdataka'!$P$3:$P$498,"=42")+SUMIFS('Unos rashoda P4'!$I$3:$I$496,'Unos rashoda P4'!$A$3:$A$496,"=559",'Unos rashoda P4'!$S$3:$S$496,"=42")</f>
        <v>0</v>
      </c>
      <c r="M51" s="61">
        <f>SUMIFS('Unos rashoda i izdataka'!$K$3:$K$498,'Unos rashoda i izdataka'!$C$3:$C$498,"=561",'Unos rashoda i izdataka'!$P$3:$P$498,"=42")+SUMIFS('Unos rashoda P4'!$I$3:$I$496,'Unos rashoda P4'!$A$3:$A$496,"=561",'Unos rashoda P4'!$S$3:$S$496,"=42")</f>
        <v>0</v>
      </c>
      <c r="N51" s="61">
        <f>SUMIFS('Unos rashoda i izdataka'!$K$3:$K$498,'Unos rashoda i izdataka'!$C$3:$C$498,"=563",'Unos rashoda i izdataka'!$P$3:$P$498,"=42")+SUMIFS('Unos rashoda P4'!$I$3:$I$496,'Unos rashoda P4'!$A$3:$A$496,"=563",'Unos rashoda P4'!$S$3:$S$496,"=42")</f>
        <v>0</v>
      </c>
      <c r="O51" s="61">
        <f>SUMIFS('Unos rashoda i izdataka'!$K$3:$K$498,'Unos rashoda i izdataka'!$C$3:$C$498,"=573",'Unos rashoda i izdataka'!$P$3:$P$498,"=42")+SUMIFS('Unos rashoda P4'!$I$3:$I$496,'Unos rashoda P4'!$A$3:$A$496,"=573",'Unos rashoda P4'!$S$3:$S$496,"=42")</f>
        <v>0</v>
      </c>
      <c r="P51" s="61">
        <f>SUMIFS('Unos rashoda i izdataka'!$K$3:$K$498,'Unos rashoda i izdataka'!$C$3:$C$498,"=575",'Unos rashoda i izdataka'!$P$3:$P$498,"=42")+SUMIFS('Unos rashoda P4'!$I$3:$I$496,'Unos rashoda P4'!$A$3:$A$496,"=575",'Unos rashoda P4'!$S$3:$S$496,"=42")</f>
        <v>0</v>
      </c>
      <c r="Q51" s="61">
        <f>SUMIFS('Unos rashoda i izdataka'!$K$3:$K$498,'Unos rashoda i izdataka'!$Q$3:$Q$498,"=576",'Unos rashoda i izdataka'!$P$3:$P$498,"=42")+SUMIFS('Unos rashoda P4'!$I$3:$I$496,'Unos rashoda P4'!$A$3:$A$496,"=576",'Unos rashoda P4'!$S$3:$S$496,"=42")</f>
        <v>0</v>
      </c>
      <c r="R51" s="61">
        <f>SUMIFS('Unos rashoda i izdataka'!$K$3:$K$498,'Unos rashoda i izdataka'!$C$3:$C$498,"=581",'Unos rashoda i izdataka'!$P$3:$P$498,"=42")+SUMIFS('Unos rashoda P4'!$I$3:$I$496,'Unos rashoda P4'!$A$3:$A$496,"=581",'Unos rashoda P4'!$S$3:$S$496,"=42")</f>
        <v>0</v>
      </c>
      <c r="S51" s="61">
        <f>SUMIFS('Unos rashoda i izdataka'!$K$3:$K$498,'Unos rashoda i izdataka'!$C$3:$C$498,"=61",'Unos rashoda i izdataka'!$P$3:$P$498,"=42")+SUMIFS('Unos rashoda P4'!$I$3:$I$496,'Unos rashoda P4'!$A$3:$A$496,"=61",'Unos rashoda P4'!$S$3:$S$496,"=42")</f>
        <v>0</v>
      </c>
      <c r="T51" s="61">
        <f>SUMIFS('Unos rashoda i izdataka'!$K$3:$K$498,'Unos rashoda i izdataka'!$C$3:$C$498,"=63",'Unos rashoda i izdataka'!$P$3:$P$498,"=42")+SUMIFS('Unos rashoda P4'!$I$3:$I$496,'Unos rashoda P4'!$A$3:$A$496,"=63",'Unos rashoda P4'!$S$3:$S$496,"=42")</f>
        <v>0</v>
      </c>
      <c r="U51" s="61">
        <f>SUMIFS('Unos rashoda i izdataka'!$K$3:$K$498,'Unos rashoda i izdataka'!$C$3:$C$498,"=71",'Unos rashoda i izdataka'!$P$3:$P$498,"=42")+SUMIFS('Unos rashoda P4'!$I$3:$I$496,'Unos rashoda P4'!$A$3:$A$496,"=71",'Unos rashoda P4'!$S$3:$S$496,"=42")</f>
        <v>1327</v>
      </c>
      <c r="V51" s="61">
        <f>SUMIFS('Unos rashoda i izdataka'!$K$3:$K$498,'Unos rashoda i izdataka'!$C$3:$C$498,"=81",'Unos rashoda i izdataka'!$P$3:$P$498,"=42")+SUMIFS('Unos rashoda P4'!$I$3:$I$496,'Unos rashoda P4'!$A$3:$A$496,"=81",'Unos rashoda P4'!$S$3:$S$496,"=42")</f>
        <v>0</v>
      </c>
    </row>
    <row r="52" spans="1:22" s="8" customFormat="1" ht="12.6" customHeight="1">
      <c r="A52" s="254">
        <v>43</v>
      </c>
      <c r="B52" s="7" t="s">
        <v>3586</v>
      </c>
      <c r="C52" s="58">
        <f t="shared" si="5"/>
        <v>0</v>
      </c>
      <c r="D52" s="61">
        <f>SUMIFS('Unos rashoda i izdataka'!$K$3:$K$498,'Unos rashoda i izdataka'!$C$3:$C$498,"=11",'Unos rashoda i izdataka'!$P$3:$P$498,"=43")+SUMIFS('Unos rashoda P4'!$I$3:$I$496,'Unos rashoda P4'!$A$3:$A$496,"=11",'Unos rashoda P4'!$S$3:$S$496,"=43")</f>
        <v>0</v>
      </c>
      <c r="E52" s="61">
        <f>SUMIFS('Unos rashoda i izdataka'!$K$3:$K$498,'Unos rashoda i izdataka'!$C$3:$C$498,"=12",'Unos rashoda i izdataka'!$P$3:$P$498,"=43")+SUMIFS('Unos rashoda P4'!$I$3:$I$496,'Unos rashoda P4'!$A$3:$A$496,"=12",'Unos rashoda P4'!$S$3:$S$496,"=43")</f>
        <v>0</v>
      </c>
      <c r="F52" s="61">
        <f>SUMIFS('Unos rashoda i izdataka'!$K$3:$K$498,'Unos rashoda i izdataka'!$C$3:$C$498,"=31",'Unos rashoda i izdataka'!$P$3:$P$498,"=43")+SUMIFS('Unos rashoda P4'!$I$3:$I$496,'Unos rashoda P4'!$A$3:$A$496,"=31",'Unos rashoda P4'!$S$3:$S$496,"=43")</f>
        <v>0</v>
      </c>
      <c r="G52" s="61">
        <f>SUMIFS('Unos rashoda i izdataka'!$K$3:$K$498,'Unos rashoda i izdataka'!$C$3:$C$498,"=41",'Unos rashoda i izdataka'!$P$3:$P$498,"=43")+SUMIFS('Unos rashoda P4'!$I$3:$I$496,'Unos rashoda P4'!$A$3:$A$496,"=41",'Unos rashoda P4'!$S$3:$S$496,"=43")</f>
        <v>0</v>
      </c>
      <c r="H52" s="61">
        <f>SUMIFS('Unos rashoda i izdataka'!$K$3:$K$498,'Unos rashoda i izdataka'!$C$3:$C$498,"=43",'Unos rashoda i izdataka'!$P$3:$P$498,"=43")+SUMIFS('Unos rashoda P4'!$I$3:$I$496,'Unos rashoda P4'!$A$3:$A$496,"=43",'Unos rashoda P4'!$S$3:$S$496,"=43")</f>
        <v>0</v>
      </c>
      <c r="I52" s="61">
        <f>SUMIFS('Unos rashoda i izdataka'!$K$3:$K$498,'Unos rashoda i izdataka'!$C$3:$C$498,"=51",'Unos rashoda i izdataka'!$P$3:$P$498,"=43")+SUMIFS('Unos rashoda P4'!$I$3:$I$496,'Unos rashoda P4'!$A$3:$A$496,"=51",'Unos rashoda P4'!$S$3:$S$496,"=43")</f>
        <v>0</v>
      </c>
      <c r="J52" s="61">
        <f>SUMIFS('Unos rashoda i izdataka'!$K$3:$K$498,'Unos rashoda i izdataka'!$C$3:$C$498,"=52",'Unos rashoda i izdataka'!$P$3:$P$498,"=43")+SUMIFS('Unos rashoda P4'!$I$3:$I$496,'Unos rashoda P4'!$A$3:$A$496,"=52",'Unos rashoda P4'!$S$3:$S$496,"=43")</f>
        <v>0</v>
      </c>
      <c r="K52" s="61">
        <f>SUMIFS('Unos rashoda i izdataka'!$K$3:$K$498,'Unos rashoda i izdataka'!$C$3:$C$498,"=552",'Unos rashoda i izdataka'!$P$3:$P$498,"=43")+SUMIFS('Unos rashoda P4'!$I$3:$I$496,'Unos rashoda P4'!$A$3:$A$496,"=552",'Unos rashoda P4'!$S$3:$S$496,"=43")</f>
        <v>0</v>
      </c>
      <c r="L52" s="61">
        <f>SUMIFS('Unos rashoda i izdataka'!$K$3:$K$498,'Unos rashoda i izdataka'!$C$3:$C$498,"=559",'Unos rashoda i izdataka'!$P$3:$P$498,"=43")+SUMIFS('Unos rashoda P4'!$I$3:$I$496,'Unos rashoda P4'!$A$3:$A$496,"=559",'Unos rashoda P4'!$S$3:$S$496,"=43")</f>
        <v>0</v>
      </c>
      <c r="M52" s="61">
        <f>SUMIFS('Unos rashoda i izdataka'!$K$3:$K$498,'Unos rashoda i izdataka'!$C$3:$C$498,"=561",'Unos rashoda i izdataka'!$P$3:$P$498,"=43")+SUMIFS('Unos rashoda P4'!$I$3:$I$496,'Unos rashoda P4'!$A$3:$A$496,"=561",'Unos rashoda P4'!$S$3:$S$496,"=43")</f>
        <v>0</v>
      </c>
      <c r="N52" s="61">
        <f>SUMIFS('Unos rashoda i izdataka'!$K$3:$K$498,'Unos rashoda i izdataka'!$C$3:$C$498,"=563",'Unos rashoda i izdataka'!$P$3:$P$498,"=43")+SUMIFS('Unos rashoda P4'!$I$3:$I$496,'Unos rashoda P4'!$A$3:$A$496,"=563",'Unos rashoda P4'!$S$3:$S$496,"=43")</f>
        <v>0</v>
      </c>
      <c r="O52" s="61">
        <f>SUMIFS('Unos rashoda i izdataka'!$K$3:$K$498,'Unos rashoda i izdataka'!$C$3:$C$498,"=573",'Unos rashoda i izdataka'!$P$3:$P$498,"=43")+SUMIFS('Unos rashoda P4'!$I$3:$I$496,'Unos rashoda P4'!$A$3:$A$496,"=573",'Unos rashoda P4'!$S$3:$S$496,"=43")</f>
        <v>0</v>
      </c>
      <c r="P52" s="61">
        <f>SUMIFS('Unos rashoda i izdataka'!$K$3:$K$498,'Unos rashoda i izdataka'!$C$3:$C$498,"=575",'Unos rashoda i izdataka'!$P$3:$P$498,"=43")+SUMIFS('Unos rashoda P4'!$I$3:$I$496,'Unos rashoda P4'!$A$3:$A$496,"=575",'Unos rashoda P4'!$S$3:$S$496,"=43")</f>
        <v>0</v>
      </c>
      <c r="Q52" s="61">
        <f>SUMIFS('Unos rashoda i izdataka'!$K$3:$K$498,'Unos rashoda i izdataka'!$Q$3:$Q$498,"=576",'Unos rashoda i izdataka'!$P$3:$P$498,"=43")+SUMIFS('Unos rashoda P4'!$I$3:$I$496,'Unos rashoda P4'!$A$3:$A$496,"=576",'Unos rashoda P4'!$S$3:$S$496,"=43")</f>
        <v>0</v>
      </c>
      <c r="R52" s="61">
        <f>SUMIFS('Unos rashoda i izdataka'!$K$3:$K$498,'Unos rashoda i izdataka'!$C$3:$C$498,"=581",'Unos rashoda i izdataka'!$P$3:$P$498,"=43")+SUMIFS('Unos rashoda P4'!$I$3:$I$496,'Unos rashoda P4'!$A$3:$A$496,"=581",'Unos rashoda P4'!$S$3:$S$496,"=43")</f>
        <v>0</v>
      </c>
      <c r="S52" s="61">
        <f>SUMIFS('Unos rashoda i izdataka'!$K$3:$K$498,'Unos rashoda i izdataka'!$C$3:$C$498,"=61",'Unos rashoda i izdataka'!$P$3:$P$498,"=43")+SUMIFS('Unos rashoda P4'!$I$3:$I$496,'Unos rashoda P4'!$A$3:$A$496,"=61",'Unos rashoda P4'!$S$3:$S$496,"=43")</f>
        <v>0</v>
      </c>
      <c r="T52" s="61">
        <f>SUMIFS('Unos rashoda i izdataka'!$K$3:$K$498,'Unos rashoda i izdataka'!$C$3:$C$498,"=63",'Unos rashoda i izdataka'!$P$3:$P$498,"=43")+SUMIFS('Unos rashoda P4'!$I$3:$I$496,'Unos rashoda P4'!$A$3:$A$496,"=63",'Unos rashoda P4'!$S$3:$S$496,"=43")</f>
        <v>0</v>
      </c>
      <c r="U52" s="61">
        <f>SUMIFS('Unos rashoda i izdataka'!$K$3:$K$498,'Unos rashoda i izdataka'!$C$3:$C$498,"=71",'Unos rashoda i izdataka'!$P$3:$P$498,"=43")+SUMIFS('Unos rashoda P4'!$I$3:$I$496,'Unos rashoda P4'!$A$3:$A$496,"=71",'Unos rashoda P4'!$S$3:$S$496,"=43")</f>
        <v>0</v>
      </c>
      <c r="V52" s="61">
        <f>SUMIFS('Unos rashoda i izdataka'!$K$3:$K$498,'Unos rashoda i izdataka'!$C$3:$C$498,"=81",'Unos rashoda i izdataka'!$P$3:$P$498,"=43")+SUMIFS('Unos rashoda P4'!$I$3:$I$496,'Unos rashoda P4'!$A$3:$A$496,"=81",'Unos rashoda P4'!$S$3:$S$496,"=43")</f>
        <v>0</v>
      </c>
    </row>
    <row r="53" spans="1:22" s="8" customFormat="1" ht="12.6" customHeight="1">
      <c r="A53" s="254">
        <v>44</v>
      </c>
      <c r="B53" s="7" t="s">
        <v>3587</v>
      </c>
      <c r="C53" s="58">
        <f t="shared" si="5"/>
        <v>0</v>
      </c>
      <c r="D53" s="61">
        <f>SUMIFS('Unos rashoda i izdataka'!$K$3:$K$498,'Unos rashoda i izdataka'!$C$3:$C$498,"=11",'Unos rashoda i izdataka'!$P$3:$P$498,"=44")+SUMIFS('Unos rashoda P4'!$I$3:$I$496,'Unos rashoda P4'!$A$3:$A$496,"=11",'Unos rashoda P4'!$S$3:$S$496,"=44")</f>
        <v>0</v>
      </c>
      <c r="E53" s="61">
        <f>SUMIFS('Unos rashoda i izdataka'!$K$3:$K$498,'Unos rashoda i izdataka'!$C$3:$C$498,"=12",'Unos rashoda i izdataka'!$P$3:$P$498,"=44")+SUMIFS('Unos rashoda P4'!$I$3:$I$496,'Unos rashoda P4'!$A$3:$A$496,"=12",'Unos rashoda P4'!$S$3:$S$496,"=44")</f>
        <v>0</v>
      </c>
      <c r="F53" s="61">
        <f>SUMIFS('Unos rashoda i izdataka'!$K$3:$K$498,'Unos rashoda i izdataka'!$C$3:$C$498,"=31",'Unos rashoda i izdataka'!$P$3:$P$498,"=44")+SUMIFS('Unos rashoda P4'!$I$3:$I$496,'Unos rashoda P4'!$A$3:$A$496,"=31",'Unos rashoda P4'!$S$3:$S$496,"=44")</f>
        <v>0</v>
      </c>
      <c r="G53" s="61">
        <f>SUMIFS('Unos rashoda i izdataka'!$K$3:$K$498,'Unos rashoda i izdataka'!$C$3:$C$498,"=41",'Unos rashoda i izdataka'!$P$3:$P$498,"=44")+SUMIFS('Unos rashoda P4'!$I$3:$I$496,'Unos rashoda P4'!$A$3:$A$496,"=41",'Unos rashoda P4'!$S$3:$S$496,"=44")</f>
        <v>0</v>
      </c>
      <c r="H53" s="61">
        <f>SUMIFS('Unos rashoda i izdataka'!$K$3:$K$498,'Unos rashoda i izdataka'!$C$3:$C$498,"=43",'Unos rashoda i izdataka'!$P$3:$P$498,"=44")+SUMIFS('Unos rashoda P4'!$I$3:$I$496,'Unos rashoda P4'!$A$3:$A$496,"=43",'Unos rashoda P4'!$S$3:$S$496,"=44")</f>
        <v>0</v>
      </c>
      <c r="I53" s="61">
        <f>SUMIFS('Unos rashoda i izdataka'!$K$3:$K$498,'Unos rashoda i izdataka'!$C$3:$C$498,"=51",'Unos rashoda i izdataka'!$P$3:$P$498,"=44")+SUMIFS('Unos rashoda P4'!$I$3:$I$496,'Unos rashoda P4'!$A$3:$A$496,"=51",'Unos rashoda P4'!$S$3:$S$496,"=44")</f>
        <v>0</v>
      </c>
      <c r="J53" s="61">
        <f>SUMIFS('Unos rashoda i izdataka'!$K$3:$K$498,'Unos rashoda i izdataka'!$C$3:$C$498,"=52",'Unos rashoda i izdataka'!$P$3:$P$498,"=44")+SUMIFS('Unos rashoda P4'!$I$3:$I$496,'Unos rashoda P4'!$A$3:$A$496,"=52",'Unos rashoda P4'!$S$3:$S$496,"=44")</f>
        <v>0</v>
      </c>
      <c r="K53" s="61">
        <f>SUMIFS('Unos rashoda i izdataka'!$K$3:$K$498,'Unos rashoda i izdataka'!$C$3:$C$498,"=552",'Unos rashoda i izdataka'!$P$3:$P$498,"=44")+SUMIFS('Unos rashoda P4'!$I$3:$I$496,'Unos rashoda P4'!$A$3:$A$496,"=552",'Unos rashoda P4'!$S$3:$S$496,"=44")</f>
        <v>0</v>
      </c>
      <c r="L53" s="61">
        <f>SUMIFS('Unos rashoda i izdataka'!$K$3:$K$498,'Unos rashoda i izdataka'!$C$3:$C$498,"=559",'Unos rashoda i izdataka'!$P$3:$P$498,"=44")+SUMIFS('Unos rashoda P4'!$I$3:$I$496,'Unos rashoda P4'!$A$3:$A$496,"=559",'Unos rashoda P4'!$S$3:$S$496,"=44")</f>
        <v>0</v>
      </c>
      <c r="M53" s="61">
        <f>SUMIFS('Unos rashoda i izdataka'!$K$3:$K$498,'Unos rashoda i izdataka'!$C$3:$C$498,"=561",'Unos rashoda i izdataka'!$P$3:$P$498,"=44")+SUMIFS('Unos rashoda P4'!$I$3:$I$496,'Unos rashoda P4'!$A$3:$A$496,"=561",'Unos rashoda P4'!$S$3:$S$496,"=44")</f>
        <v>0</v>
      </c>
      <c r="N53" s="61">
        <f>SUMIFS('Unos rashoda i izdataka'!$K$3:$K$498,'Unos rashoda i izdataka'!$C$3:$C$498,"=563",'Unos rashoda i izdataka'!$P$3:$P$498,"=44")+SUMIFS('Unos rashoda P4'!$I$3:$I$496,'Unos rashoda P4'!$A$3:$A$496,"=563",'Unos rashoda P4'!$S$3:$S$496,"=44")</f>
        <v>0</v>
      </c>
      <c r="O53" s="61">
        <f>SUMIFS('Unos rashoda i izdataka'!$K$3:$K$498,'Unos rashoda i izdataka'!$C$3:$C$498,"=573",'Unos rashoda i izdataka'!$P$3:$P$498,"=44")+SUMIFS('Unos rashoda P4'!$I$3:$I$496,'Unos rashoda P4'!$A$3:$A$496,"=573",'Unos rashoda P4'!$S$3:$S$496,"=44")</f>
        <v>0</v>
      </c>
      <c r="P53" s="61">
        <f>SUMIFS('Unos rashoda i izdataka'!$K$3:$K$498,'Unos rashoda i izdataka'!$C$3:$C$498,"=575",'Unos rashoda i izdataka'!$P$3:$P$498,"=44")+SUMIFS('Unos rashoda P4'!$I$3:$I$496,'Unos rashoda P4'!$A$3:$A$496,"=575",'Unos rashoda P4'!$S$3:$S$496,"=44")</f>
        <v>0</v>
      </c>
      <c r="Q53" s="61">
        <f>SUMIFS('Unos rashoda i izdataka'!$K$3:$K$498,'Unos rashoda i izdataka'!$Q$3:$Q$498,"=576",'Unos rashoda i izdataka'!$P$3:$P$498,"=44")+SUMIFS('Unos rashoda P4'!$I$3:$I$496,'Unos rashoda P4'!$A$3:$A$496,"=576",'Unos rashoda P4'!$S$3:$S$496,"=44")</f>
        <v>0</v>
      </c>
      <c r="R53" s="61">
        <f>SUMIFS('Unos rashoda i izdataka'!$K$3:$K$498,'Unos rashoda i izdataka'!$C$3:$C$498,"=581",'Unos rashoda i izdataka'!$P$3:$P$498,"=44")+SUMIFS('Unos rashoda P4'!$I$3:$I$496,'Unos rashoda P4'!$A$3:$A$496,"=581",'Unos rashoda P4'!$S$3:$S$496,"=44")</f>
        <v>0</v>
      </c>
      <c r="S53" s="61">
        <f>SUMIFS('Unos rashoda i izdataka'!$K$3:$K$498,'Unos rashoda i izdataka'!$C$3:$C$498,"=61",'Unos rashoda i izdataka'!$P$3:$P$498,"=44")+SUMIFS('Unos rashoda P4'!$I$3:$I$496,'Unos rashoda P4'!$A$3:$A$496,"=61",'Unos rashoda P4'!$S$3:$S$496,"=44")</f>
        <v>0</v>
      </c>
      <c r="T53" s="61">
        <f>SUMIFS('Unos rashoda i izdataka'!$K$3:$K$498,'Unos rashoda i izdataka'!$C$3:$C$498,"=63",'Unos rashoda i izdataka'!$P$3:$P$498,"=44")+SUMIFS('Unos rashoda P4'!$I$3:$I$496,'Unos rashoda P4'!$A$3:$A$496,"=63",'Unos rashoda P4'!$S$3:$S$496,"=44")</f>
        <v>0</v>
      </c>
      <c r="U53" s="61">
        <f>SUMIFS('Unos rashoda i izdataka'!$K$3:$K$498,'Unos rashoda i izdataka'!$C$3:$C$498,"=71",'Unos rashoda i izdataka'!$P$3:$P$498,"=44")+SUMIFS('Unos rashoda P4'!$I$3:$I$496,'Unos rashoda P4'!$A$3:$A$496,"=71",'Unos rashoda P4'!$S$3:$S$496,"=44")</f>
        <v>0</v>
      </c>
      <c r="V53" s="61">
        <f>SUMIFS('Unos rashoda i izdataka'!$K$3:$K$498,'Unos rashoda i izdataka'!$C$3:$C$498,"=81",'Unos rashoda i izdataka'!$P$3:$P$498,"=44")+SUMIFS('Unos rashoda P4'!$I$3:$I$496,'Unos rashoda P4'!$A$3:$A$496,"=81",'Unos rashoda P4'!$S$3:$S$496,"=44")</f>
        <v>0</v>
      </c>
    </row>
    <row r="54" spans="1:22" s="12" customFormat="1" ht="12.6" customHeight="1">
      <c r="A54" s="255">
        <v>45</v>
      </c>
      <c r="B54" s="9" t="s">
        <v>3588</v>
      </c>
      <c r="C54" s="58">
        <f t="shared" si="5"/>
        <v>79634</v>
      </c>
      <c r="D54" s="61">
        <f>SUMIFS('Unos rashoda i izdataka'!$K$3:$K$498,'Unos rashoda i izdataka'!$C$3:$C$498,"=11",'Unos rashoda i izdataka'!$P$3:$P$498,"=45")+SUMIFS('Unos rashoda P4'!$I$3:$I$496,'Unos rashoda P4'!$A$3:$A$496,"=11",'Unos rashoda P4'!$S$3:$S$496,"=45")</f>
        <v>0</v>
      </c>
      <c r="E54" s="61">
        <f>SUMIFS('Unos rashoda i izdataka'!$K$3:$K$498,'Unos rashoda i izdataka'!$C$3:$C$498,"=12",'Unos rashoda i izdataka'!$P$3:$P$498,"=45")+SUMIFS('Unos rashoda P4'!$I$3:$I$496,'Unos rashoda P4'!$A$3:$A$496,"=12",'Unos rashoda P4'!$S$3:$S$496,"=45")</f>
        <v>0</v>
      </c>
      <c r="F54" s="61">
        <f>SUMIFS('Unos rashoda i izdataka'!$K$3:$K$498,'Unos rashoda i izdataka'!$C$3:$C$498,"=31",'Unos rashoda i izdataka'!$P$3:$P$498,"=45")+SUMIFS('Unos rashoda P4'!$I$3:$I$496,'Unos rashoda P4'!$A$3:$A$496,"=31",'Unos rashoda P4'!$S$3:$S$496,"=45")</f>
        <v>0</v>
      </c>
      <c r="G54" s="61">
        <f>SUMIFS('Unos rashoda i izdataka'!$K$3:$K$498,'Unos rashoda i izdataka'!$C$3:$C$498,"=41",'Unos rashoda i izdataka'!$P$3:$P$498,"=45")+SUMIFS('Unos rashoda P4'!$I$3:$I$496,'Unos rashoda P4'!$A$3:$A$496,"=41",'Unos rashoda P4'!$S$3:$S$496,"=45")</f>
        <v>0</v>
      </c>
      <c r="H54" s="61">
        <f>SUMIFS('Unos rashoda i izdataka'!$K$3:$K$498,'Unos rashoda i izdataka'!$C$3:$C$498,"=43",'Unos rashoda i izdataka'!$P$3:$P$498,"=45")+SUMIFS('Unos rashoda P4'!$I$3:$I$496,'Unos rashoda P4'!$A$3:$A$496,"=43",'Unos rashoda P4'!$S$3:$S$496,"=45")</f>
        <v>0</v>
      </c>
      <c r="I54" s="61">
        <f>SUMIFS('Unos rashoda i izdataka'!$K$3:$K$498,'Unos rashoda i izdataka'!$C$3:$C$498,"=51",'Unos rashoda i izdataka'!$P$3:$P$498,"=45")+SUMIFS('Unos rashoda P4'!$I$3:$I$496,'Unos rashoda P4'!$A$3:$A$496,"=51",'Unos rashoda P4'!$S$3:$S$496,"=45")</f>
        <v>0</v>
      </c>
      <c r="J54" s="61">
        <f>SUMIFS('Unos rashoda i izdataka'!$K$3:$K$498,'Unos rashoda i izdataka'!$C$3:$C$498,"=52",'Unos rashoda i izdataka'!$P$3:$P$498,"=45")+SUMIFS('Unos rashoda P4'!$I$3:$I$496,'Unos rashoda P4'!$A$3:$A$496,"=52",'Unos rashoda P4'!$S$3:$S$496,"=45")</f>
        <v>79634</v>
      </c>
      <c r="K54" s="61">
        <f>SUMIFS('Unos rashoda i izdataka'!$K$3:$K$498,'Unos rashoda i izdataka'!$C$3:$C$498,"=552",'Unos rashoda i izdataka'!$P$3:$P$498,"=45")+SUMIFS('Unos rashoda P4'!$I$3:$I$496,'Unos rashoda P4'!$A$3:$A$496,"=552",'Unos rashoda P4'!$S$3:$S$496,"=45")</f>
        <v>0</v>
      </c>
      <c r="L54" s="61">
        <f>SUMIFS('Unos rashoda i izdataka'!$K$3:$K$498,'Unos rashoda i izdataka'!$C$3:$C$498,"=559",'Unos rashoda i izdataka'!$P$3:$P$498,"=45")+SUMIFS('Unos rashoda P4'!$I$3:$I$496,'Unos rashoda P4'!$A$3:$A$496,"=559",'Unos rashoda P4'!$S$3:$S$496,"=45")</f>
        <v>0</v>
      </c>
      <c r="M54" s="61">
        <f>SUMIFS('Unos rashoda i izdataka'!$K$3:$K$498,'Unos rashoda i izdataka'!$C$3:$C$498,"=561",'Unos rashoda i izdataka'!$P$3:$P$498,"=45")+SUMIFS('Unos rashoda P4'!$I$3:$I$496,'Unos rashoda P4'!$A$3:$A$496,"=561",'Unos rashoda P4'!$S$3:$S$496,"=45")</f>
        <v>0</v>
      </c>
      <c r="N54" s="61">
        <f>SUMIFS('Unos rashoda i izdataka'!$K$3:$K$498,'Unos rashoda i izdataka'!$C$3:$C$498,"=563",'Unos rashoda i izdataka'!$P$3:$P$498,"=45")+SUMIFS('Unos rashoda P4'!$I$3:$I$496,'Unos rashoda P4'!$A$3:$A$496,"=563",'Unos rashoda P4'!$S$3:$S$496,"=45")</f>
        <v>0</v>
      </c>
      <c r="O54" s="61">
        <f>SUMIFS('Unos rashoda i izdataka'!$K$3:$K$498,'Unos rashoda i izdataka'!$C$3:$C$498,"=573",'Unos rashoda i izdataka'!$P$3:$P$498,"=45")+SUMIFS('Unos rashoda P4'!$I$3:$I$496,'Unos rashoda P4'!$A$3:$A$496,"=573",'Unos rashoda P4'!$S$3:$S$496,"=45")</f>
        <v>0</v>
      </c>
      <c r="P54" s="61">
        <f>SUMIFS('Unos rashoda i izdataka'!$K$3:$K$498,'Unos rashoda i izdataka'!$C$3:$C$498,"=575",'Unos rashoda i izdataka'!$P$3:$P$498,"=45")+SUMIFS('Unos rashoda P4'!$I$3:$I$496,'Unos rashoda P4'!$A$3:$A$496,"=575",'Unos rashoda P4'!$S$3:$S$496,"=45")</f>
        <v>0</v>
      </c>
      <c r="Q54" s="61">
        <f>SUMIFS('Unos rashoda i izdataka'!$K$3:$K$498,'Unos rashoda i izdataka'!$Q$3:$Q$498,"=576",'Unos rashoda i izdataka'!$P$3:$P$498,"=45")+SUMIFS('Unos rashoda P4'!$I$3:$I$496,'Unos rashoda P4'!$A$3:$A$496,"=576",'Unos rashoda P4'!$S$3:$S$496,"=45")</f>
        <v>0</v>
      </c>
      <c r="R54" s="61">
        <f>SUMIFS('Unos rashoda i izdataka'!$K$3:$K$498,'Unos rashoda i izdataka'!$C$3:$C$498,"=581",'Unos rashoda i izdataka'!$P$3:$P$498,"=45")+SUMIFS('Unos rashoda P4'!$I$3:$I$496,'Unos rashoda P4'!$A$3:$A$496,"=581",'Unos rashoda P4'!$S$3:$S$496,"=45")</f>
        <v>0</v>
      </c>
      <c r="S54" s="61">
        <f>SUMIFS('Unos rashoda i izdataka'!$K$3:$K$498,'Unos rashoda i izdataka'!$C$3:$C$498,"=61",'Unos rashoda i izdataka'!$P$3:$P$498,"=45")+SUMIFS('Unos rashoda P4'!$I$3:$I$496,'Unos rashoda P4'!$A$3:$A$496,"=61",'Unos rashoda P4'!$S$3:$S$496,"=45")</f>
        <v>0</v>
      </c>
      <c r="T54" s="61">
        <f>SUMIFS('Unos rashoda i izdataka'!$K$3:$K$498,'Unos rashoda i izdataka'!$C$3:$C$498,"=63",'Unos rashoda i izdataka'!$P$3:$P$498,"=45")+SUMIFS('Unos rashoda P4'!$I$3:$I$496,'Unos rashoda P4'!$A$3:$A$496,"=63",'Unos rashoda P4'!$S$3:$S$496,"=45")</f>
        <v>0</v>
      </c>
      <c r="U54" s="61">
        <f>SUMIFS('Unos rashoda i izdataka'!$K$3:$K$498,'Unos rashoda i izdataka'!$C$3:$C$498,"=71",'Unos rashoda i izdataka'!$P$3:$P$498,"=45")+SUMIFS('Unos rashoda P4'!$I$3:$I$496,'Unos rashoda P4'!$A$3:$A$496,"=71",'Unos rashoda P4'!$S$3:$S$496,"=45")</f>
        <v>0</v>
      </c>
      <c r="V54" s="61">
        <f>SUMIFS('Unos rashoda i izdataka'!$K$3:$K$498,'Unos rashoda i izdataka'!$C$3:$C$498,"=81",'Unos rashoda i izdataka'!$P$3:$P$498,"=45")+SUMIFS('Unos rashoda P4'!$I$3:$I$496,'Unos rashoda P4'!$A$3:$A$496,"=81",'Unos rashoda P4'!$S$3:$S$496,"=45")</f>
        <v>0</v>
      </c>
    </row>
    <row r="55" spans="1:22" s="24" customFormat="1">
      <c r="A55" s="257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s="26" customFormat="1" ht="71.45" customHeight="1">
      <c r="A56" s="156" t="s">
        <v>3563</v>
      </c>
      <c r="B56" s="2" t="s">
        <v>3564</v>
      </c>
      <c r="C56" s="2" t="s">
        <v>3590</v>
      </c>
      <c r="D56" s="2" t="s">
        <v>3566</v>
      </c>
      <c r="E56" s="2" t="s">
        <v>3524</v>
      </c>
      <c r="F56" s="2" t="s">
        <v>3525</v>
      </c>
      <c r="G56" s="2" t="s">
        <v>3567</v>
      </c>
      <c r="H56" s="2" t="s">
        <v>3527</v>
      </c>
      <c r="I56" s="2" t="s">
        <v>3528</v>
      </c>
      <c r="J56" s="2" t="s">
        <v>3529</v>
      </c>
      <c r="K56" s="2" t="s">
        <v>3530</v>
      </c>
      <c r="L56" s="2" t="s">
        <v>3531</v>
      </c>
      <c r="M56" s="2" t="s">
        <v>3532</v>
      </c>
      <c r="N56" s="2" t="s">
        <v>3533</v>
      </c>
      <c r="O56" s="2" t="s">
        <v>3534</v>
      </c>
      <c r="P56" s="2" t="s">
        <v>3568</v>
      </c>
      <c r="Q56" s="2" t="s">
        <v>3569</v>
      </c>
      <c r="R56" s="2" t="s">
        <v>3537</v>
      </c>
      <c r="S56" s="2" t="s">
        <v>3538</v>
      </c>
      <c r="T56" s="2" t="s">
        <v>3539</v>
      </c>
      <c r="U56" s="2" t="s">
        <v>3570</v>
      </c>
      <c r="V56" s="2" t="s">
        <v>3571</v>
      </c>
    </row>
    <row r="57" spans="1:22" s="14" customFormat="1" ht="19.5" customHeight="1">
      <c r="A57" s="259">
        <v>2023</v>
      </c>
      <c r="B57" s="258" t="s">
        <v>64</v>
      </c>
      <c r="C57" s="47">
        <f t="shared" ref="C57:C75" si="26">SUM(D57:V57)</f>
        <v>3176187</v>
      </c>
      <c r="D57" s="48">
        <f t="shared" ref="D57:V57" si="27">D58+D70</f>
        <v>1966542</v>
      </c>
      <c r="E57" s="48">
        <f t="shared" si="27"/>
        <v>0</v>
      </c>
      <c r="F57" s="48">
        <f t="shared" si="27"/>
        <v>41260</v>
      </c>
      <c r="G57" s="48">
        <f t="shared" si="27"/>
        <v>0</v>
      </c>
      <c r="H57" s="48">
        <f t="shared" si="27"/>
        <v>1041991</v>
      </c>
      <c r="I57" s="48">
        <f t="shared" si="27"/>
        <v>23862</v>
      </c>
      <c r="J57" s="48">
        <f t="shared" si="27"/>
        <v>39818</v>
      </c>
      <c r="K57" s="48">
        <f t="shared" si="27"/>
        <v>0</v>
      </c>
      <c r="L57" s="48">
        <f t="shared" si="27"/>
        <v>0</v>
      </c>
      <c r="M57" s="48">
        <f t="shared" si="27"/>
        <v>1640</v>
      </c>
      <c r="N57" s="48">
        <f t="shared" si="27"/>
        <v>0</v>
      </c>
      <c r="O57" s="48">
        <f t="shared" si="27"/>
        <v>0</v>
      </c>
      <c r="P57" s="48">
        <f t="shared" si="27"/>
        <v>0</v>
      </c>
      <c r="Q57" s="48">
        <f t="shared" si="27"/>
        <v>0</v>
      </c>
      <c r="R57" s="48">
        <f t="shared" si="27"/>
        <v>0</v>
      </c>
      <c r="S57" s="48">
        <f t="shared" si="27"/>
        <v>61074</v>
      </c>
      <c r="T57" s="48">
        <f t="shared" si="27"/>
        <v>0</v>
      </c>
      <c r="U57" s="48">
        <f t="shared" si="27"/>
        <v>0</v>
      </c>
      <c r="V57" s="48">
        <f t="shared" si="27"/>
        <v>0</v>
      </c>
    </row>
    <row r="58" spans="1:22" s="6" customFormat="1" ht="12.6" customHeight="1">
      <c r="A58" s="256">
        <v>3</v>
      </c>
      <c r="B58" s="50" t="s">
        <v>3572</v>
      </c>
      <c r="C58" s="51">
        <f t="shared" si="26"/>
        <v>3123165</v>
      </c>
      <c r="D58" s="55">
        <f t="shared" ref="D58:V58" si="28">+D59+D64+D65+D66+D67+D68+D69</f>
        <v>1966542</v>
      </c>
      <c r="E58" s="55">
        <f t="shared" si="28"/>
        <v>0</v>
      </c>
      <c r="F58" s="55">
        <f t="shared" si="28"/>
        <v>39713</v>
      </c>
      <c r="G58" s="55">
        <f t="shared" si="28"/>
        <v>0</v>
      </c>
      <c r="H58" s="55">
        <f t="shared" si="28"/>
        <v>992025</v>
      </c>
      <c r="I58" s="55">
        <f t="shared" si="28"/>
        <v>23862</v>
      </c>
      <c r="J58" s="55">
        <f t="shared" si="28"/>
        <v>39818</v>
      </c>
      <c r="K58" s="55">
        <f t="shared" si="28"/>
        <v>0</v>
      </c>
      <c r="L58" s="55">
        <f t="shared" si="28"/>
        <v>0</v>
      </c>
      <c r="M58" s="55">
        <f t="shared" si="28"/>
        <v>131</v>
      </c>
      <c r="N58" s="55">
        <f t="shared" si="28"/>
        <v>0</v>
      </c>
      <c r="O58" s="55">
        <f t="shared" si="28"/>
        <v>0</v>
      </c>
      <c r="P58" s="55">
        <f t="shared" si="28"/>
        <v>0</v>
      </c>
      <c r="Q58" s="55">
        <f t="shared" si="28"/>
        <v>0</v>
      </c>
      <c r="R58" s="55">
        <f t="shared" si="28"/>
        <v>0</v>
      </c>
      <c r="S58" s="55">
        <f t="shared" si="28"/>
        <v>61074</v>
      </c>
      <c r="T58" s="55">
        <f t="shared" si="28"/>
        <v>0</v>
      </c>
      <c r="U58" s="55">
        <f t="shared" si="28"/>
        <v>0</v>
      </c>
      <c r="V58" s="55">
        <f t="shared" si="28"/>
        <v>0</v>
      </c>
    </row>
    <row r="59" spans="1:22" s="8" customFormat="1" ht="12.6" customHeight="1">
      <c r="A59" s="254">
        <v>31</v>
      </c>
      <c r="B59" s="7" t="s">
        <v>3573</v>
      </c>
      <c r="C59" s="57">
        <f t="shared" si="26"/>
        <v>2213888</v>
      </c>
      <c r="D59" s="61">
        <f>SUMIFS('Unos rashoda i izdataka'!$L$3:$L$498,'Unos rashoda i izdataka'!$C$3:$C$498,"=11",'Unos rashoda i izdataka'!$P$3:$P$498,"=31")+SUMIFS('Unos rashoda P4'!$J$3:$J$496,'Unos rashoda P4'!$A$3:$A$496,"=11",'Unos rashoda P4'!$S$3:$S$496,"=31")</f>
        <v>1864476</v>
      </c>
      <c r="E59" s="61">
        <f>SUMIFS('Unos rashoda i izdataka'!$L$3:$L$498,'Unos rashoda i izdataka'!$C$3:$C$498,"=12",'Unos rashoda i izdataka'!$P$3:$P$498,"=31")+SUMIFS('Unos rashoda P4'!$J$3:$J$496,'Unos rashoda P4'!$A$3:$A$496,"=12",'Unos rashoda P4'!$S$3:$S$496,"=31")</f>
        <v>0</v>
      </c>
      <c r="F59" s="61">
        <f>SUMIFS('Unos rashoda i izdataka'!$L$3:$L$498,'Unos rashoda i izdataka'!$C$3:$C$498,"=31",'Unos rashoda i izdataka'!$P$3:$P$498,"=31")+SUMIFS('Unos rashoda P4'!$J$3:$J$496,'Unos rashoda P4'!$A$3:$A$496,"=31",'Unos rashoda P4'!$S$3:$S$496,"=31")</f>
        <v>12599</v>
      </c>
      <c r="G59" s="61">
        <f>SUMIFS('Unos rashoda i izdataka'!$L$3:$L$498,'Unos rashoda i izdataka'!$C$3:$C$498,"=41",'Unos rashoda i izdataka'!$P$3:$P$498,"=31")+SUMIFS('Unos rashoda P4'!$J$3:$J$496,'Unos rashoda P4'!$A$3:$A$496,"=41",'Unos rashoda P4'!$S$3:$S$496,"=31")</f>
        <v>0</v>
      </c>
      <c r="H59" s="61">
        <f>SUMIFS('Unos rashoda i izdataka'!$L$3:$L$498,'Unos rashoda i izdataka'!$C$3:$C$498,"=43",'Unos rashoda i izdataka'!$P$3:$P$498,"=31")+SUMIFS('Unos rashoda P4'!$J$3:$J$496,'Unos rashoda P4'!$A$3:$A$496,"=43",'Unos rashoda P4'!$S$3:$S$496,"=31")</f>
        <v>265336</v>
      </c>
      <c r="I59" s="61">
        <f>SUMIFS('Unos rashoda i izdataka'!$L$3:$L$498,'Unos rashoda i izdataka'!$C$3:$C$498,"=51",'Unos rashoda i izdataka'!$P$3:$P$498,"=31")+SUMIFS('Unos rashoda P4'!$J$3:$J$496,'Unos rashoda P4'!$A$3:$A$496,"=51",'Unos rashoda P4'!$S$3:$S$496,"=31")</f>
        <v>7041</v>
      </c>
      <c r="J59" s="61">
        <f>SUMIFS('Unos rashoda i izdataka'!$L$3:$L$498,'Unos rashoda i izdataka'!$C$3:$C$498,"=52",'Unos rashoda i izdataka'!$P$3:$P$498,"=31")+SUMIFS('Unos rashoda P4'!$J$3:$J$496,'Unos rashoda P4'!$A$3:$A$496,"=52",'Unos rashoda P4'!$S$3:$S$496,"=31")</f>
        <v>30134</v>
      </c>
      <c r="K59" s="61">
        <f>SUMIFS('Unos rashoda i izdataka'!$L$3:$L$498,'Unos rashoda i izdataka'!$C$3:$C$498,"=552",'Unos rashoda i izdataka'!$P$3:$P$498,"=31")+SUMIFS('Unos rashoda P4'!$J$3:$J$496,'Unos rashoda P4'!$A$3:$A$496,"=552",'Unos rashoda P4'!$S$3:$S$496,"=31")</f>
        <v>0</v>
      </c>
      <c r="L59" s="61">
        <f>SUMIFS('Unos rashoda i izdataka'!$L$3:$L$498,'Unos rashoda i izdataka'!$C$3:$C$498,"=559",'Unos rashoda i izdataka'!$P$3:$P$498,"=31")+SUMIFS('Unos rashoda P4'!$J$3:$J$496,'Unos rashoda P4'!$A$3:$A$496,"=559",'Unos rashoda P4'!$S$3:$S$496,"=31")</f>
        <v>0</v>
      </c>
      <c r="M59" s="61">
        <f>SUMIFS('Unos rashoda i izdataka'!$L$3:$L$498,'Unos rashoda i izdataka'!$C$3:$C$498,"=561",'Unos rashoda i izdataka'!$P$3:$P$498,"=31")+SUMIFS('Unos rashoda P4'!$J$3:$J$496,'Unos rashoda P4'!$A$3:$A$496,"=561",'Unos rashoda P4'!$S$3:$S$496,"=31")</f>
        <v>0</v>
      </c>
      <c r="N59" s="61">
        <f>SUMIFS('Unos rashoda i izdataka'!$L$3:$L$498,'Unos rashoda i izdataka'!$C$3:$C$498,"=563",'Unos rashoda i izdataka'!$P$3:$P$498,"=31")+SUMIFS('Unos rashoda P4'!$J$3:$J$496,'Unos rashoda P4'!$A$3:$A$496,"=563",'Unos rashoda P4'!$S$3:$S$496,"=31")</f>
        <v>0</v>
      </c>
      <c r="O59" s="61">
        <f>SUMIFS('Unos rashoda i izdataka'!$L$3:$L$498,'Unos rashoda i izdataka'!$C$3:$C$498,"=573",'Unos rashoda i izdataka'!$P$3:$P$498,"=31")+SUMIFS('Unos rashoda P4'!$J$3:$J$496,'Unos rashoda P4'!$A$3:$A$496,"=573",'Unos rashoda P4'!$S$3:$S$496,"=31")</f>
        <v>0</v>
      </c>
      <c r="P59" s="61">
        <f>SUMIFS('Unos rashoda i izdataka'!$L$3:$L$498,'Unos rashoda i izdataka'!$C$3:$C$498,"=575",'Unos rashoda i izdataka'!$P$3:$P$498,"=31")+SUMIFS('Unos rashoda P4'!$J$3:$J$496,'Unos rashoda P4'!$A$3:$A$496,"=575",'Unos rashoda P4'!$S$3:$S$496,"=31")</f>
        <v>0</v>
      </c>
      <c r="Q59" s="61">
        <f>SUMIFS('Unos rashoda i izdataka'!$L$3:$L$498,'Unos rashoda i izdataka'!$Q$3:$Q$498,"=576",'Unos rashoda i izdataka'!$P$3:$P$498,"=31")+SUMIFS('Unos rashoda P4'!$J$3:$J$496,'Unos rashoda P4'!$A$3:$A$496,"=576",'Unos rashoda P4'!$S$3:$S$496,"=31")</f>
        <v>0</v>
      </c>
      <c r="R59" s="61">
        <f>SUMIFS('Unos rashoda i izdataka'!$L$3:$L$498,'Unos rashoda i izdataka'!$C$3:$C$498,"=581",'Unos rashoda i izdataka'!$P$3:$P$498,"=31")+SUMIFS('Unos rashoda P4'!$J$3:$J$496,'Unos rashoda P4'!$A$3:$A$496,"=581",'Unos rashoda P4'!$S$3:$S$496,"=31")</f>
        <v>0</v>
      </c>
      <c r="S59" s="61">
        <f>SUMIFS('Unos rashoda i izdataka'!$L$3:$L$498,'Unos rashoda i izdataka'!$C$3:$C$498,"=61",'Unos rashoda i izdataka'!$P$3:$P$498,"=31")+SUMIFS('Unos rashoda P4'!$J$3:$J$496,'Unos rashoda P4'!$A$3:$A$496,"=61",'Unos rashoda P4'!$S$3:$S$496,"=31")</f>
        <v>34302</v>
      </c>
      <c r="T59" s="61">
        <f>SUMIFS('Unos rashoda i izdataka'!$L$3:$L$498,'Unos rashoda i izdataka'!$C$3:$C$498,"=63",'Unos rashoda i izdataka'!$P$3:$P$498,"=31")+SUMIFS('Unos rashoda P4'!$J$3:$J$496,'Unos rashoda P4'!$A$3:$A$496,"=63",'Unos rashoda P4'!$S$3:$S$496,"=31")</f>
        <v>0</v>
      </c>
      <c r="U59" s="61">
        <f>SUMIFS('Unos rashoda i izdataka'!$L$3:$L$498,'Unos rashoda i izdataka'!$C$3:$C$498,"=71",'Unos rashoda i izdataka'!$P$3:$P$498,"=31")+SUMIFS('Unos rashoda P4'!$J$3:$J$496,'Unos rashoda P4'!$A$3:$A$496,"=71",'Unos rashoda P4'!$S$3:$S$496,"=31")</f>
        <v>0</v>
      </c>
      <c r="V59" s="61">
        <f>SUMIFS('Unos rashoda i izdataka'!$L$3:$L$498,'Unos rashoda i izdataka'!$C$3:$C$498,"=81",'Unos rashoda i izdataka'!$P$3:$P$498,"=31")+SUMIFS('Unos rashoda P4'!$J$3:$J$496,'Unos rashoda P4'!$A$3:$A$496,"=81",'Unos rashoda P4'!$S$3:$S$496,"=31")</f>
        <v>0</v>
      </c>
    </row>
    <row r="60" spans="1:22" s="8" customFormat="1" ht="12.6" customHeight="1">
      <c r="A60" s="254">
        <v>311</v>
      </c>
      <c r="B60" s="7" t="s">
        <v>3574</v>
      </c>
      <c r="C60" s="57">
        <f t="shared" ref="C60:C63" si="29">SUM(D60:V60)</f>
        <v>23</v>
      </c>
      <c r="D60" s="61">
        <v>23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2" s="8" customFormat="1" ht="12.6" customHeight="1">
      <c r="A61" s="254">
        <v>3111</v>
      </c>
      <c r="B61" s="7" t="s">
        <v>635</v>
      </c>
      <c r="C61" s="57">
        <f t="shared" si="29"/>
        <v>55</v>
      </c>
      <c r="D61" s="61">
        <v>55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  <row r="62" spans="1:22" s="8" customFormat="1" ht="12.6" customHeight="1">
      <c r="A62" s="254">
        <v>313</v>
      </c>
      <c r="B62" s="7" t="s">
        <v>3575</v>
      </c>
      <c r="C62" s="57">
        <f t="shared" si="29"/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</row>
    <row r="63" spans="1:22" s="8" customFormat="1" ht="12.6" customHeight="1">
      <c r="A63" s="254">
        <v>3132</v>
      </c>
      <c r="B63" s="7" t="s">
        <v>660</v>
      </c>
      <c r="C63" s="57">
        <f t="shared" si="29"/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spans="1:22" s="28" customFormat="1" ht="12.6" customHeight="1">
      <c r="A64" s="255">
        <v>32</v>
      </c>
      <c r="B64" s="9" t="s">
        <v>3576</v>
      </c>
      <c r="C64" s="58">
        <f t="shared" si="26"/>
        <v>897831</v>
      </c>
      <c r="D64" s="61">
        <f>SUMIFS('Unos rashoda i izdataka'!$L$3:$L$498,'Unos rashoda i izdataka'!$C$3:$C$498,"=11",'Unos rashoda i izdataka'!$P$3:$P$498,"=32")+SUMIFS('Unos rashoda P4'!$J$3:$J$496,'Unos rashoda P4'!$A$3:$A$496,"=11",'Unos rashoda P4'!$S$3:$S$496,"=32")</f>
        <v>97860</v>
      </c>
      <c r="E64" s="61">
        <f>SUMIFS('Unos rashoda i izdataka'!$L$3:$L$498,'Unos rashoda i izdataka'!$C$3:$C$498,"=12",'Unos rashoda i izdataka'!$P$3:$P$498,"=32")+SUMIFS('Unos rashoda P4'!$J$3:$J$496,'Unos rashoda P4'!$A$3:$A$496,"=12",'Unos rashoda P4'!$S$3:$S$496,"=32")</f>
        <v>0</v>
      </c>
      <c r="F64" s="61">
        <f>SUMIFS('Unos rashoda i izdataka'!$L$3:$L$498,'Unos rashoda i izdataka'!$C$3:$C$498,"=31",'Unos rashoda i izdataka'!$P$3:$P$498,"=32")+SUMIFS('Unos rashoda P4'!$J$3:$J$496,'Unos rashoda P4'!$A$3:$A$496,"=31",'Unos rashoda P4'!$S$3:$S$496,"=32")</f>
        <v>27098</v>
      </c>
      <c r="G64" s="61">
        <f>SUMIFS('Unos rashoda i izdataka'!$L$3:$L$498,'Unos rashoda i izdataka'!$C$3:$C$498,"=41",'Unos rashoda i izdataka'!$P$3:$P$498,"=32")+SUMIFS('Unos rashoda P4'!$J$3:$J$496,'Unos rashoda P4'!$A$3:$A$496,"=41",'Unos rashoda P4'!$S$3:$S$496,"=32")</f>
        <v>0</v>
      </c>
      <c r="H64" s="61">
        <f>SUMIFS('Unos rashoda i izdataka'!$L$3:$L$498,'Unos rashoda i izdataka'!$C$3:$C$498,"=43",'Unos rashoda i izdataka'!$P$3:$P$498,"=32")+SUMIFS('Unos rashoda P4'!$J$3:$J$496,'Unos rashoda P4'!$A$3:$A$496,"=43",'Unos rashoda P4'!$S$3:$S$496,"=32")</f>
        <v>719803</v>
      </c>
      <c r="I64" s="61">
        <f>SUMIFS('Unos rashoda i izdataka'!$L$3:$L$498,'Unos rashoda i izdataka'!$C$3:$C$498,"=51",'Unos rashoda i izdataka'!$P$3:$P$498,"=32")+SUMIFS('Unos rashoda P4'!$J$3:$J$496,'Unos rashoda P4'!$A$3:$A$496,"=51",'Unos rashoda P4'!$S$3:$S$496,"=32")</f>
        <v>16483</v>
      </c>
      <c r="J64" s="61">
        <f>SUMIFS('Unos rashoda i izdataka'!$L$3:$L$498,'Unos rashoda i izdataka'!$C$3:$C$498,"=52",'Unos rashoda i izdataka'!$P$3:$P$498,"=32")+SUMIFS('Unos rashoda P4'!$J$3:$J$496,'Unos rashoda P4'!$A$3:$A$496,"=52",'Unos rashoda P4'!$S$3:$S$496,"=32")</f>
        <v>9684</v>
      </c>
      <c r="K64" s="61">
        <f>SUMIFS('Unos rashoda i izdataka'!$L$3:$L$498,'Unos rashoda i izdataka'!$C$3:$C$498,"=552",'Unos rashoda i izdataka'!$P$3:$P$498,"=32")+SUMIFS('Unos rashoda P4'!$J$3:$J$496,'Unos rashoda P4'!$A$3:$A$496,"=552",'Unos rashoda P4'!$S$3:$S$496,"=32")</f>
        <v>0</v>
      </c>
      <c r="L64" s="61">
        <f>SUMIFS('Unos rashoda i izdataka'!$L$3:$L$498,'Unos rashoda i izdataka'!$C$3:$C$498,"=559",'Unos rashoda i izdataka'!$P$3:$P$498,"=32")+SUMIFS('Unos rashoda P4'!$J$3:$J$496,'Unos rashoda P4'!$A$3:$A$496,"=559",'Unos rashoda P4'!$S$3:$S$496,"=32")</f>
        <v>0</v>
      </c>
      <c r="M64" s="61">
        <f>SUMIFS('Unos rashoda i izdataka'!$L$3:$L$498,'Unos rashoda i izdataka'!$C$3:$C$498,"=561",'Unos rashoda i izdataka'!$P$3:$P$498,"=32")+SUMIFS('Unos rashoda P4'!$J$3:$J$496,'Unos rashoda P4'!$A$3:$A$496,"=561",'Unos rashoda P4'!$S$3:$S$496,"=32")</f>
        <v>131</v>
      </c>
      <c r="N64" s="61">
        <f>SUMIFS('Unos rashoda i izdataka'!$L$3:$L$498,'Unos rashoda i izdataka'!$C$3:$C$498,"=563",'Unos rashoda i izdataka'!$P$3:$P$498,"=32")+SUMIFS('Unos rashoda P4'!$J$3:$J$496,'Unos rashoda P4'!$A$3:$A$496,"=563",'Unos rashoda P4'!$S$3:$S$496,"=32")</f>
        <v>0</v>
      </c>
      <c r="O64" s="61">
        <f>SUMIFS('Unos rashoda i izdataka'!$L$3:$L$498,'Unos rashoda i izdataka'!$C$3:$C$498,"=573",'Unos rashoda i izdataka'!$P$3:$P$498,"=32")+SUMIFS('Unos rashoda P4'!$J$3:$J$496,'Unos rashoda P4'!$A$3:$A$496,"=573",'Unos rashoda P4'!$S$3:$S$496,"=32")</f>
        <v>0</v>
      </c>
      <c r="P64" s="61">
        <f>SUMIFS('Unos rashoda i izdataka'!$L$3:$L$498,'Unos rashoda i izdataka'!$C$3:$C$498,"=575",'Unos rashoda i izdataka'!$P$3:$P$498,"=32")+SUMIFS('Unos rashoda P4'!$J$3:$J$496,'Unos rashoda P4'!$A$3:$A$496,"=575",'Unos rashoda P4'!$S$3:$S$496,"=32")</f>
        <v>0</v>
      </c>
      <c r="Q64" s="61">
        <f>SUMIFS('Unos rashoda i izdataka'!$L$3:$L$498,'Unos rashoda i izdataka'!$Q$3:$Q$498,"=576",'Unos rashoda i izdataka'!$P$3:$P$498,"=32")+SUMIFS('Unos rashoda P4'!$J$3:$J$496,'Unos rashoda P4'!$A$3:$A$496,"=576",'Unos rashoda P4'!$S$3:$S$496,"=32")</f>
        <v>0</v>
      </c>
      <c r="R64" s="61">
        <f>SUMIFS('Unos rashoda i izdataka'!$L$3:$L$498,'Unos rashoda i izdataka'!$C$3:$C$498,"=581",'Unos rashoda i izdataka'!$P$3:$P$498,"=32")+SUMIFS('Unos rashoda P4'!$J$3:$J$496,'Unos rashoda P4'!$A$3:$A$496,"=581",'Unos rashoda P4'!$S$3:$S$496,"=32")</f>
        <v>0</v>
      </c>
      <c r="S64" s="61">
        <f>SUMIFS('Unos rashoda i izdataka'!$L$3:$L$498,'Unos rashoda i izdataka'!$C$3:$C$498,"=61",'Unos rashoda i izdataka'!$P$3:$P$498,"=32")+SUMIFS('Unos rashoda P4'!$J$3:$J$496,'Unos rashoda P4'!$A$3:$A$496,"=61",'Unos rashoda P4'!$S$3:$S$496,"=32")</f>
        <v>26772</v>
      </c>
      <c r="T64" s="61">
        <f>SUMIFS('Unos rashoda i izdataka'!$L$3:$L$498,'Unos rashoda i izdataka'!$C$3:$C$498,"=63",'Unos rashoda i izdataka'!$P$3:$P$498,"=32")+SUMIFS('Unos rashoda P4'!$J$3:$J$496,'Unos rashoda P4'!$A$3:$A$496,"=63",'Unos rashoda P4'!$S$3:$S$496,"=32")</f>
        <v>0</v>
      </c>
      <c r="U64" s="61">
        <f>SUMIFS('Unos rashoda i izdataka'!$L$3:$L$498,'Unos rashoda i izdataka'!$C$3:$C$498,"=71",'Unos rashoda i izdataka'!$P$3:$P$498,"=32")+SUMIFS('Unos rashoda P4'!$J$3:$J$496,'Unos rashoda P4'!$A$3:$A$496,"=71",'Unos rashoda P4'!$S$3:$S$496,"=32")</f>
        <v>0</v>
      </c>
      <c r="V64" s="61">
        <f>SUMIFS('Unos rashoda i izdataka'!$L$3:$L$498,'Unos rashoda i izdataka'!$C$3:$C$498,"=81",'Unos rashoda i izdataka'!$P$3:$P$498,"=32")+SUMIFS('Unos rashoda P4'!$J$3:$J$496,'Unos rashoda P4'!$A$3:$A$496,"=81",'Unos rashoda P4'!$S$3:$S$496,"=32")</f>
        <v>0</v>
      </c>
    </row>
    <row r="65" spans="1:22" s="10" customFormat="1" ht="12.6" customHeight="1">
      <c r="A65" s="255">
        <v>34</v>
      </c>
      <c r="B65" s="9" t="s">
        <v>3578</v>
      </c>
      <c r="C65" s="58">
        <f t="shared" si="26"/>
        <v>10452</v>
      </c>
      <c r="D65" s="61">
        <f>SUMIFS('Unos rashoda i izdataka'!$L$3:$L$498,'Unos rashoda i izdataka'!$C$3:$C$498,"=11",'Unos rashoda i izdataka'!$P$3:$P$498,"=34")+SUMIFS('Unos rashoda P4'!$J$3:$J$496,'Unos rashoda P4'!$A$3:$A$496,"=11",'Unos rashoda P4'!$S$3:$S$496,"=34")</f>
        <v>4206</v>
      </c>
      <c r="E65" s="61">
        <f>SUMIFS('Unos rashoda i izdataka'!$L$3:$L$498,'Unos rashoda i izdataka'!$C$3:$C$498,"=12",'Unos rashoda i izdataka'!$P$3:$P$498,"=34")+SUMIFS('Unos rashoda P4'!$J$3:$J$496,'Unos rashoda P4'!$A$3:$A$496,"=12",'Unos rashoda P4'!$S$3:$S$496,"=34")</f>
        <v>0</v>
      </c>
      <c r="F65" s="61">
        <f>SUMIFS('Unos rashoda i izdataka'!$L$3:$L$498,'Unos rashoda i izdataka'!$C$3:$C$498,"=31",'Unos rashoda i izdataka'!$P$3:$P$498,"=34")+SUMIFS('Unos rashoda P4'!$J$3:$J$496,'Unos rashoda P4'!$A$3:$A$496,"=31",'Unos rashoda P4'!$S$3:$S$496,"=34")</f>
        <v>16</v>
      </c>
      <c r="G65" s="61">
        <f>SUMIFS('Unos rashoda i izdataka'!$L$3:$L$498,'Unos rashoda i izdataka'!$C$3:$C$498,"=41",'Unos rashoda i izdataka'!$P$3:$P$498,"=34")+SUMIFS('Unos rashoda P4'!$J$3:$J$496,'Unos rashoda P4'!$A$3:$A$496,"=41",'Unos rashoda P4'!$S$3:$S$496,"=34")</f>
        <v>0</v>
      </c>
      <c r="H65" s="61">
        <f>SUMIFS('Unos rashoda i izdataka'!$L$3:$L$498,'Unos rashoda i izdataka'!$C$3:$C$498,"=43",'Unos rashoda i izdataka'!$P$3:$P$498,"=34")+SUMIFS('Unos rashoda P4'!$J$3:$J$496,'Unos rashoda P4'!$A$3:$A$496,"=43",'Unos rashoda P4'!$S$3:$S$496,"=34")</f>
        <v>6222</v>
      </c>
      <c r="I65" s="61">
        <f>SUMIFS('Unos rashoda i izdataka'!$L$3:$L$498,'Unos rashoda i izdataka'!$C$3:$C$498,"=51",'Unos rashoda i izdataka'!$P$3:$P$498,"=34")+SUMIFS('Unos rashoda P4'!$J$3:$J$496,'Unos rashoda P4'!$A$3:$A$496,"=51",'Unos rashoda P4'!$S$3:$S$496,"=34")</f>
        <v>8</v>
      </c>
      <c r="J65" s="61">
        <f>SUMIFS('Unos rashoda i izdataka'!$L$3:$L$498,'Unos rashoda i izdataka'!$C$3:$C$498,"=52",'Unos rashoda i izdataka'!$P$3:$P$498,"=34")+SUMIFS('Unos rashoda P4'!$J$3:$J$496,'Unos rashoda P4'!$A$3:$A$496,"=52",'Unos rashoda P4'!$S$3:$S$496,"=34")</f>
        <v>0</v>
      </c>
      <c r="K65" s="61">
        <f>SUMIFS('Unos rashoda i izdataka'!$L$3:$L$498,'Unos rashoda i izdataka'!$C$3:$C$498,"=552",'Unos rashoda i izdataka'!$P$3:$P$498,"=34")+SUMIFS('Unos rashoda P4'!$J$3:$J$496,'Unos rashoda P4'!$A$3:$A$496,"=552",'Unos rashoda P4'!$S$3:$S$496,"=34")</f>
        <v>0</v>
      </c>
      <c r="L65" s="61">
        <f>SUMIFS('Unos rashoda i izdataka'!$L$3:$L$498,'Unos rashoda i izdataka'!$C$3:$C$498,"=559",'Unos rashoda i izdataka'!$P$3:$P$498,"=34")+SUMIFS('Unos rashoda P4'!$J$3:$J$496,'Unos rashoda P4'!$A$3:$A$496,"=559",'Unos rashoda P4'!$S$3:$S$496,"=34")</f>
        <v>0</v>
      </c>
      <c r="M65" s="61">
        <f>SUMIFS('Unos rashoda i izdataka'!$L$3:$L$498,'Unos rashoda i izdataka'!$C$3:$C$498,"=561",'Unos rashoda i izdataka'!$P$3:$P$498,"=34")+SUMIFS('Unos rashoda P4'!$J$3:$J$496,'Unos rashoda P4'!$A$3:$A$496,"=561",'Unos rashoda P4'!$S$3:$S$496,"=34")</f>
        <v>0</v>
      </c>
      <c r="N65" s="61">
        <f>SUMIFS('Unos rashoda i izdataka'!$L$3:$L$498,'Unos rashoda i izdataka'!$C$3:$C$498,"=563",'Unos rashoda i izdataka'!$P$3:$P$498,"=34")+SUMIFS('Unos rashoda P4'!$J$3:$J$496,'Unos rashoda P4'!$A$3:$A$496,"=563",'Unos rashoda P4'!$S$3:$S$496,"=34")</f>
        <v>0</v>
      </c>
      <c r="O65" s="61">
        <f>SUMIFS('Unos rashoda i izdataka'!$L$3:$L$498,'Unos rashoda i izdataka'!$C$3:$C$498,"=573",'Unos rashoda i izdataka'!$P$3:$P$498,"=34")+SUMIFS('Unos rashoda P4'!$J$3:$J$496,'Unos rashoda P4'!$A$3:$A$496,"=573",'Unos rashoda P4'!$S$3:$S$496,"=34")</f>
        <v>0</v>
      </c>
      <c r="P65" s="61">
        <f>SUMIFS('Unos rashoda i izdataka'!$L$3:$L$498,'Unos rashoda i izdataka'!$C$3:$C$498,"=575",'Unos rashoda i izdataka'!$P$3:$P$498,"=34")+SUMIFS('Unos rashoda P4'!$J$3:$J$496,'Unos rashoda P4'!$A$3:$A$496,"=575",'Unos rashoda P4'!$S$3:$S$496,"=34")</f>
        <v>0</v>
      </c>
      <c r="Q65" s="61">
        <f>SUMIFS('Unos rashoda i izdataka'!$L$3:$L$498,'Unos rashoda i izdataka'!$Q$3:$Q$498,"=576",'Unos rashoda i izdataka'!$P$3:$P$498,"=34")+SUMIFS('Unos rashoda P4'!$J$3:$J$496,'Unos rashoda P4'!$A$3:$A$496,"=576",'Unos rashoda P4'!$S$3:$S$496,"=34")</f>
        <v>0</v>
      </c>
      <c r="R65" s="61">
        <f>SUMIFS('Unos rashoda i izdataka'!$L$3:$L$498,'Unos rashoda i izdataka'!$C$3:$C$498,"=581",'Unos rashoda i izdataka'!$P$3:$P$498,"=34")+SUMIFS('Unos rashoda P4'!$J$3:$J$496,'Unos rashoda P4'!$A$3:$A$496,"=581",'Unos rashoda P4'!$S$3:$S$496,"=34")</f>
        <v>0</v>
      </c>
      <c r="S65" s="61">
        <f>SUMIFS('Unos rashoda i izdataka'!$L$3:$L$498,'Unos rashoda i izdataka'!$C$3:$C$498,"=61",'Unos rashoda i izdataka'!$P$3:$P$498,"=34")+SUMIFS('Unos rashoda P4'!$J$3:$J$496,'Unos rashoda P4'!$A$3:$A$496,"=61",'Unos rashoda P4'!$S$3:$S$496,"=34")</f>
        <v>0</v>
      </c>
      <c r="T65" s="61">
        <f>SUMIFS('Unos rashoda i izdataka'!$L$3:$L$498,'Unos rashoda i izdataka'!$C$3:$C$498,"=63",'Unos rashoda i izdataka'!$P$3:$P$498,"=34")+SUMIFS('Unos rashoda P4'!$J$3:$J$496,'Unos rashoda P4'!$A$3:$A$496,"=63",'Unos rashoda P4'!$S$3:$S$496,"=34")</f>
        <v>0</v>
      </c>
      <c r="U65" s="61">
        <f>SUMIFS('Unos rashoda i izdataka'!$L$3:$L$498,'Unos rashoda i izdataka'!$C$3:$C$498,"=71",'Unos rashoda i izdataka'!$P$3:$P$498,"=34")+SUMIFS('Unos rashoda P4'!$J$3:$J$496,'Unos rashoda P4'!$A$3:$A$496,"=71",'Unos rashoda P4'!$S$3:$S$496,"=34")</f>
        <v>0</v>
      </c>
      <c r="V65" s="61">
        <f>SUMIFS('Unos rashoda i izdataka'!$L$3:$L$498,'Unos rashoda i izdataka'!$C$3:$C$498,"=81",'Unos rashoda i izdataka'!$P$3:$P$498,"=34")+SUMIFS('Unos rashoda P4'!$J$3:$J$496,'Unos rashoda P4'!$A$3:$A$496,"=81",'Unos rashoda P4'!$S$3:$S$496,"=34")</f>
        <v>0</v>
      </c>
    </row>
    <row r="66" spans="1:22" s="28" customFormat="1" ht="12.6" customHeight="1">
      <c r="A66" s="255">
        <v>35</v>
      </c>
      <c r="B66" s="9" t="s">
        <v>3579</v>
      </c>
      <c r="C66" s="58">
        <f t="shared" si="26"/>
        <v>0</v>
      </c>
      <c r="D66" s="61">
        <f>SUMIFS('Unos rashoda i izdataka'!$L$3:$L$498,'Unos rashoda i izdataka'!$C$3:$C$498,"=11",'Unos rashoda i izdataka'!$P$3:$P$498,"=35")+SUMIFS('Unos rashoda P4'!$J$3:$J$496,'Unos rashoda P4'!$A$3:$A$496,"=11",'Unos rashoda P4'!$S$3:$S$496,"=35")</f>
        <v>0</v>
      </c>
      <c r="E66" s="61">
        <f>SUMIFS('Unos rashoda i izdataka'!$L$3:$L$498,'Unos rashoda i izdataka'!$C$3:$C$498,"=12",'Unos rashoda i izdataka'!$P$3:$P$498,"=35")+SUMIFS('Unos rashoda P4'!$J$3:$J$496,'Unos rashoda P4'!$A$3:$A$496,"=12",'Unos rashoda P4'!$S$3:$S$496,"=35")</f>
        <v>0</v>
      </c>
      <c r="F66" s="61">
        <f>SUMIFS('Unos rashoda i izdataka'!$L$3:$L$498,'Unos rashoda i izdataka'!$C$3:$C$498,"=31",'Unos rashoda i izdataka'!$P$3:$P$498,"=35")+SUMIFS('Unos rashoda P4'!$J$3:$J$496,'Unos rashoda P4'!$A$3:$A$496,"=31",'Unos rashoda P4'!$S$3:$S$496,"=35")</f>
        <v>0</v>
      </c>
      <c r="G66" s="61">
        <f>SUMIFS('Unos rashoda i izdataka'!$L$3:$L$498,'Unos rashoda i izdataka'!$C$3:$C$498,"=41",'Unos rashoda i izdataka'!$P$3:$P$498,"=35")+SUMIFS('Unos rashoda P4'!$J$3:$J$496,'Unos rashoda P4'!$A$3:$A$496,"=41",'Unos rashoda P4'!$S$3:$S$496,"=35")</f>
        <v>0</v>
      </c>
      <c r="H66" s="61">
        <f>SUMIFS('Unos rashoda i izdataka'!$L$3:$L$498,'Unos rashoda i izdataka'!$C$3:$C$498,"=43",'Unos rashoda i izdataka'!$P$3:$P$498,"=35")+SUMIFS('Unos rashoda P4'!$J$3:$J$496,'Unos rashoda P4'!$A$3:$A$496,"=43",'Unos rashoda P4'!$S$3:$S$496,"=35")</f>
        <v>0</v>
      </c>
      <c r="I66" s="61">
        <f>SUMIFS('Unos rashoda i izdataka'!$L$3:$L$498,'Unos rashoda i izdataka'!$C$3:$C$498,"=51",'Unos rashoda i izdataka'!$P$3:$P$498,"=35")+SUMIFS('Unos rashoda P4'!$J$3:$J$496,'Unos rashoda P4'!$A$3:$A$496,"=51",'Unos rashoda P4'!$S$3:$S$496,"=35")</f>
        <v>0</v>
      </c>
      <c r="J66" s="61">
        <f>SUMIFS('Unos rashoda i izdataka'!$L$3:$L$498,'Unos rashoda i izdataka'!$C$3:$C$498,"=52",'Unos rashoda i izdataka'!$P$3:$P$498,"=35")+SUMIFS('Unos rashoda P4'!$J$3:$J$496,'Unos rashoda P4'!$A$3:$A$496,"=52",'Unos rashoda P4'!$S$3:$S$496,"=35")</f>
        <v>0</v>
      </c>
      <c r="K66" s="61">
        <f>SUMIFS('Unos rashoda i izdataka'!$L$3:$L$498,'Unos rashoda i izdataka'!$C$3:$C$498,"=552",'Unos rashoda i izdataka'!$P$3:$P$498,"=35")+SUMIFS('Unos rashoda P4'!$J$3:$J$496,'Unos rashoda P4'!$A$3:$A$496,"=552",'Unos rashoda P4'!$S$3:$S$496,"=35")</f>
        <v>0</v>
      </c>
      <c r="L66" s="61">
        <f>SUMIFS('Unos rashoda i izdataka'!$L$3:$L$498,'Unos rashoda i izdataka'!$C$3:$C$498,"=559",'Unos rashoda i izdataka'!$P$3:$P$498,"=35")+SUMIFS('Unos rashoda P4'!$J$3:$J$496,'Unos rashoda P4'!$A$3:$A$496,"=559",'Unos rashoda P4'!$S$3:$S$496,"=35")</f>
        <v>0</v>
      </c>
      <c r="M66" s="61">
        <f>SUMIFS('Unos rashoda i izdataka'!$L$3:$L$498,'Unos rashoda i izdataka'!$C$3:$C$498,"=561",'Unos rashoda i izdataka'!$P$3:$P$498,"=35")+SUMIFS('Unos rashoda P4'!$J$3:$J$496,'Unos rashoda P4'!$A$3:$A$496,"=561",'Unos rashoda P4'!$S$3:$S$496,"=35")</f>
        <v>0</v>
      </c>
      <c r="N66" s="61">
        <f>SUMIFS('Unos rashoda i izdataka'!$L$3:$L$498,'Unos rashoda i izdataka'!$C$3:$C$498,"=563",'Unos rashoda i izdataka'!$P$3:$P$498,"=35")+SUMIFS('Unos rashoda P4'!$J$3:$J$496,'Unos rashoda P4'!$A$3:$A$496,"=563",'Unos rashoda P4'!$S$3:$S$496,"=35")</f>
        <v>0</v>
      </c>
      <c r="O66" s="61">
        <f>SUMIFS('Unos rashoda i izdataka'!$L$3:$L$498,'Unos rashoda i izdataka'!$C$3:$C$498,"=573",'Unos rashoda i izdataka'!$P$3:$P$498,"=35")+SUMIFS('Unos rashoda P4'!$J$3:$J$496,'Unos rashoda P4'!$A$3:$A$496,"=573",'Unos rashoda P4'!$S$3:$S$496,"=35")</f>
        <v>0</v>
      </c>
      <c r="P66" s="61">
        <f>SUMIFS('Unos rashoda i izdataka'!$L$3:$L$498,'Unos rashoda i izdataka'!$C$3:$C$498,"=575",'Unos rashoda i izdataka'!$P$3:$P$498,"=35")+SUMIFS('Unos rashoda P4'!$J$3:$J$496,'Unos rashoda P4'!$A$3:$A$496,"=575",'Unos rashoda P4'!$S$3:$S$496,"=35")</f>
        <v>0</v>
      </c>
      <c r="Q66" s="61">
        <f>SUMIFS('Unos rashoda i izdataka'!$L$3:$L$498,'Unos rashoda i izdataka'!$Q$3:$Q$498,"=576",'Unos rashoda i izdataka'!$P$3:$P$498,"=35")+SUMIFS('Unos rashoda P4'!$J$3:$J$496,'Unos rashoda P4'!$A$3:$A$496,"=576",'Unos rashoda P4'!$S$3:$S$496,"=35")</f>
        <v>0</v>
      </c>
      <c r="R66" s="61">
        <f>SUMIFS('Unos rashoda i izdataka'!$L$3:$L$498,'Unos rashoda i izdataka'!$C$3:$C$498,"=581",'Unos rashoda i izdataka'!$P$3:$P$498,"=35")+SUMIFS('Unos rashoda P4'!$J$3:$J$496,'Unos rashoda P4'!$A$3:$A$496,"=581",'Unos rashoda P4'!$S$3:$S$496,"=35")</f>
        <v>0</v>
      </c>
      <c r="S66" s="61">
        <f>SUMIFS('Unos rashoda i izdataka'!$L$3:$L$498,'Unos rashoda i izdataka'!$C$3:$C$498,"=61",'Unos rashoda i izdataka'!$P$3:$P$498,"=35")+SUMIFS('Unos rashoda P4'!$J$3:$J$496,'Unos rashoda P4'!$A$3:$A$496,"=61",'Unos rashoda P4'!$S$3:$S$496,"=35")</f>
        <v>0</v>
      </c>
      <c r="T66" s="61">
        <f>SUMIFS('Unos rashoda i izdataka'!$L$3:$L$498,'Unos rashoda i izdataka'!$C$3:$C$498,"=63",'Unos rashoda i izdataka'!$P$3:$P$498,"=35")+SUMIFS('Unos rashoda P4'!$J$3:$J$496,'Unos rashoda P4'!$A$3:$A$496,"=63",'Unos rashoda P4'!$S$3:$S$496,"=35")</f>
        <v>0</v>
      </c>
      <c r="U66" s="61">
        <f>SUMIFS('Unos rashoda i izdataka'!$L$3:$L$498,'Unos rashoda i izdataka'!$C$3:$C$498,"=71",'Unos rashoda i izdataka'!$P$3:$P$498,"=35")+SUMIFS('Unos rashoda P4'!$J$3:$J$496,'Unos rashoda P4'!$A$3:$A$496,"=71",'Unos rashoda P4'!$S$3:$S$496,"=35")</f>
        <v>0</v>
      </c>
      <c r="V66" s="61">
        <f>SUMIFS('Unos rashoda i izdataka'!$L$3:$L$498,'Unos rashoda i izdataka'!$C$3:$C$498,"=81",'Unos rashoda i izdataka'!$P$3:$P$498,"=35")+SUMIFS('Unos rashoda P4'!$J$3:$J$496,'Unos rashoda P4'!$A$3:$A$496,"=81",'Unos rashoda P4'!$S$3:$S$496,"=35")</f>
        <v>0</v>
      </c>
    </row>
    <row r="67" spans="1:22" s="28" customFormat="1" ht="12.6" customHeight="1">
      <c r="A67" s="255">
        <v>36</v>
      </c>
      <c r="B67" s="11" t="s">
        <v>3580</v>
      </c>
      <c r="C67" s="58">
        <f t="shared" si="26"/>
        <v>330</v>
      </c>
      <c r="D67" s="61">
        <f>SUMIFS('Unos rashoda i izdataka'!$L$3:$L$498,'Unos rashoda i izdataka'!$C$3:$C$498,"=11",'Unos rashoda i izdataka'!$P$3:$P$498,"=36")+SUMIFS('Unos rashoda P4'!$J$3:$J$496,'Unos rashoda P4'!$A$3:$A$496,"=11",'Unos rashoda P4'!$S$3:$S$496,"=36")</f>
        <v>0</v>
      </c>
      <c r="E67" s="61">
        <f>SUMIFS('Unos rashoda i izdataka'!$L$3:$L$498,'Unos rashoda i izdataka'!$C$3:$C$498,"=12",'Unos rashoda i izdataka'!$P$3:$P$498,"=36")+SUMIFS('Unos rashoda P4'!$J$3:$J$496,'Unos rashoda P4'!$A$3:$A$496,"=12",'Unos rashoda P4'!$S$3:$S$496,"=36")</f>
        <v>0</v>
      </c>
      <c r="F67" s="61">
        <f>SUMIFS('Unos rashoda i izdataka'!$L$3:$L$498,'Unos rashoda i izdataka'!$C$3:$C$498,"=31",'Unos rashoda i izdataka'!$P$3:$P$498,"=36")+SUMIFS('Unos rashoda P4'!$J$3:$J$496,'Unos rashoda P4'!$A$3:$A$496,"=31",'Unos rashoda P4'!$S$3:$S$496,"=36")</f>
        <v>0</v>
      </c>
      <c r="G67" s="61">
        <f>SUMIFS('Unos rashoda i izdataka'!$L$3:$L$498,'Unos rashoda i izdataka'!$C$3:$C$498,"=41",'Unos rashoda i izdataka'!$P$3:$P$498,"=36")+SUMIFS('Unos rashoda P4'!$J$3:$J$496,'Unos rashoda P4'!$A$3:$A$496,"=41",'Unos rashoda P4'!$S$3:$S$496,"=36")</f>
        <v>0</v>
      </c>
      <c r="H67" s="61">
        <f>SUMIFS('Unos rashoda i izdataka'!$L$3:$L$498,'Unos rashoda i izdataka'!$C$3:$C$498,"=43",'Unos rashoda i izdataka'!$P$3:$P$498,"=36")+SUMIFS('Unos rashoda P4'!$J$3:$J$496,'Unos rashoda P4'!$A$3:$A$496,"=43",'Unos rashoda P4'!$S$3:$S$496,"=36")</f>
        <v>0</v>
      </c>
      <c r="I67" s="61">
        <f>SUMIFS('Unos rashoda i izdataka'!$L$3:$L$498,'Unos rashoda i izdataka'!$C$3:$C$498,"=51",'Unos rashoda i izdataka'!$P$3:$P$498,"=36")+SUMIFS('Unos rashoda P4'!$J$3:$J$496,'Unos rashoda P4'!$A$3:$A$496,"=51",'Unos rashoda P4'!$S$3:$S$496,"=36")</f>
        <v>330</v>
      </c>
      <c r="J67" s="61">
        <f>SUMIFS('Unos rashoda i izdataka'!$L$3:$L$498,'Unos rashoda i izdataka'!$C$3:$C$498,"=52",'Unos rashoda i izdataka'!$P$3:$P$498,"=36")+SUMIFS('Unos rashoda P4'!$J$3:$J$496,'Unos rashoda P4'!$A$3:$A$496,"=52",'Unos rashoda P4'!$S$3:$S$496,"=36")</f>
        <v>0</v>
      </c>
      <c r="K67" s="61">
        <f>SUMIFS('Unos rashoda i izdataka'!$L$3:$L$498,'Unos rashoda i izdataka'!$C$3:$C$498,"=552",'Unos rashoda i izdataka'!$P$3:$P$498,"=36")+SUMIFS('Unos rashoda P4'!$J$3:$J$496,'Unos rashoda P4'!$A$3:$A$496,"=552",'Unos rashoda P4'!$S$3:$S$496,"=36")</f>
        <v>0</v>
      </c>
      <c r="L67" s="61">
        <f>SUMIFS('Unos rashoda i izdataka'!$L$3:$L$498,'Unos rashoda i izdataka'!$C$3:$C$498,"=559",'Unos rashoda i izdataka'!$P$3:$P$498,"=36")+SUMIFS('Unos rashoda P4'!$J$3:$J$496,'Unos rashoda P4'!$A$3:$A$496,"=559",'Unos rashoda P4'!$S$3:$S$496,"=36")</f>
        <v>0</v>
      </c>
      <c r="M67" s="61">
        <f>SUMIFS('Unos rashoda i izdataka'!$L$3:$L$498,'Unos rashoda i izdataka'!$C$3:$C$498,"=561",'Unos rashoda i izdataka'!$P$3:$P$498,"=36")+SUMIFS('Unos rashoda P4'!$J$3:$J$496,'Unos rashoda P4'!$A$3:$A$496,"=561",'Unos rashoda P4'!$S$3:$S$496,"=36")</f>
        <v>0</v>
      </c>
      <c r="N67" s="61">
        <f>SUMIFS('Unos rashoda i izdataka'!$L$3:$L$498,'Unos rashoda i izdataka'!$C$3:$C$498,"=563",'Unos rashoda i izdataka'!$P$3:$P$498,"=36")+SUMIFS('Unos rashoda P4'!$J$3:$J$496,'Unos rashoda P4'!$A$3:$A$496,"=563",'Unos rashoda P4'!$S$3:$S$496,"=36")</f>
        <v>0</v>
      </c>
      <c r="O67" s="61">
        <f>SUMIFS('Unos rashoda i izdataka'!$L$3:$L$498,'Unos rashoda i izdataka'!$C$3:$C$498,"=573",'Unos rashoda i izdataka'!$P$3:$P$498,"=36")+SUMIFS('Unos rashoda P4'!$J$3:$J$496,'Unos rashoda P4'!$A$3:$A$496,"=573",'Unos rashoda P4'!$S$3:$S$496,"=36")</f>
        <v>0</v>
      </c>
      <c r="P67" s="61">
        <f>SUMIFS('Unos rashoda i izdataka'!$L$3:$L$498,'Unos rashoda i izdataka'!$C$3:$C$498,"=575",'Unos rashoda i izdataka'!$P$3:$P$498,"=36")+SUMIFS('Unos rashoda P4'!$J$3:$J$496,'Unos rashoda P4'!$A$3:$A$496,"=575",'Unos rashoda P4'!$S$3:$S$496,"=36")</f>
        <v>0</v>
      </c>
      <c r="Q67" s="61">
        <f>SUMIFS('Unos rashoda i izdataka'!$L$3:$L$498,'Unos rashoda i izdataka'!$Q$3:$Q$498,"=576",'Unos rashoda i izdataka'!$P$3:$P$498,"=36")+SUMIFS('Unos rashoda P4'!$J$3:$J$496,'Unos rashoda P4'!$A$3:$A$496,"=576",'Unos rashoda P4'!$S$3:$S$496,"=36")</f>
        <v>0</v>
      </c>
      <c r="R67" s="61">
        <f>SUMIFS('Unos rashoda i izdataka'!$L$3:$L$498,'Unos rashoda i izdataka'!$C$3:$C$498,"=581",'Unos rashoda i izdataka'!$P$3:$P$498,"=36")+SUMIFS('Unos rashoda P4'!$J$3:$J$496,'Unos rashoda P4'!$A$3:$A$496,"=581",'Unos rashoda P4'!$S$3:$S$496,"=36")</f>
        <v>0</v>
      </c>
      <c r="S67" s="61">
        <f>SUMIFS('Unos rashoda i izdataka'!$L$3:$L$498,'Unos rashoda i izdataka'!$C$3:$C$498,"=61",'Unos rashoda i izdataka'!$P$3:$P$498,"=36")+SUMIFS('Unos rashoda P4'!$J$3:$J$496,'Unos rashoda P4'!$A$3:$A$496,"=61",'Unos rashoda P4'!$S$3:$S$496,"=36")</f>
        <v>0</v>
      </c>
      <c r="T67" s="61">
        <f>SUMIFS('Unos rashoda i izdataka'!$L$3:$L$498,'Unos rashoda i izdataka'!$C$3:$C$498,"=63",'Unos rashoda i izdataka'!$P$3:$P$498,"=36")+SUMIFS('Unos rashoda P4'!$J$3:$J$496,'Unos rashoda P4'!$A$3:$A$496,"=63",'Unos rashoda P4'!$S$3:$S$496,"=36")</f>
        <v>0</v>
      </c>
      <c r="U67" s="61">
        <f>SUMIFS('Unos rashoda i izdataka'!$L$3:$L$498,'Unos rashoda i izdataka'!$C$3:$C$498,"=71",'Unos rashoda i izdataka'!$P$3:$P$498,"=36")+SUMIFS('Unos rashoda P4'!$J$3:$J$496,'Unos rashoda P4'!$A$3:$A$496,"=71",'Unos rashoda P4'!$S$3:$S$496,"=36")</f>
        <v>0</v>
      </c>
      <c r="V67" s="61">
        <f>SUMIFS('Unos rashoda i izdataka'!$L$3:$L$498,'Unos rashoda i izdataka'!$C$3:$C$498,"=81",'Unos rashoda i izdataka'!$P$3:$P$498,"=36")+SUMIFS('Unos rashoda P4'!$J$3:$J$496,'Unos rashoda P4'!$A$3:$A$496,"=81",'Unos rashoda P4'!$S$3:$S$496,"=36")</f>
        <v>0</v>
      </c>
    </row>
    <row r="68" spans="1:22" s="12" customFormat="1" ht="12.6" customHeight="1">
      <c r="A68" s="255">
        <v>37</v>
      </c>
      <c r="B68" s="9" t="s">
        <v>3581</v>
      </c>
      <c r="C68" s="58">
        <f t="shared" si="26"/>
        <v>664</v>
      </c>
      <c r="D68" s="61">
        <f>SUMIFS('Unos rashoda i izdataka'!$L$3:$L$498,'Unos rashoda i izdataka'!$C$3:$C$498,"=11",'Unos rashoda i izdataka'!$P$3:$P$498,"=37")+SUMIFS('Unos rashoda P4'!$J$3:$J$496,'Unos rashoda P4'!$A$3:$A$496,"=11",'Unos rashoda P4'!$S$3:$S$496,"=37")</f>
        <v>0</v>
      </c>
      <c r="E68" s="61">
        <f>SUMIFS('Unos rashoda i izdataka'!$L$3:$L$498,'Unos rashoda i izdataka'!$C$3:$C$498,"=12",'Unos rashoda i izdataka'!$P$3:$P$498,"=37")+SUMIFS('Unos rashoda P4'!$J$3:$J$496,'Unos rashoda P4'!$A$3:$A$496,"=12",'Unos rashoda P4'!$S$3:$S$496,"=37")</f>
        <v>0</v>
      </c>
      <c r="F68" s="61">
        <f>SUMIFS('Unos rashoda i izdataka'!$L$3:$L$498,'Unos rashoda i izdataka'!$C$3:$C$498,"=31",'Unos rashoda i izdataka'!$P$3:$P$498,"=37")+SUMIFS('Unos rashoda P4'!$J$3:$J$496,'Unos rashoda P4'!$A$3:$A$496,"=31",'Unos rashoda P4'!$S$3:$S$496,"=37")</f>
        <v>0</v>
      </c>
      <c r="G68" s="61">
        <f>SUMIFS('Unos rashoda i izdataka'!$L$3:$L$498,'Unos rashoda i izdataka'!$C$3:$C$498,"=41",'Unos rashoda i izdataka'!$P$3:$P$498,"=37")+SUMIFS('Unos rashoda P4'!$J$3:$J$496,'Unos rashoda P4'!$A$3:$A$496,"=41",'Unos rashoda P4'!$S$3:$S$496,"=37")</f>
        <v>0</v>
      </c>
      <c r="H68" s="61">
        <f>SUMIFS('Unos rashoda i izdataka'!$L$3:$L$498,'Unos rashoda i izdataka'!$C$3:$C$498,"=43",'Unos rashoda i izdataka'!$P$3:$P$498,"=37")+SUMIFS('Unos rashoda P4'!$J$3:$J$496,'Unos rashoda P4'!$A$3:$A$496,"=43",'Unos rashoda P4'!$S$3:$S$496,"=37")</f>
        <v>664</v>
      </c>
      <c r="I68" s="61">
        <f>SUMIFS('Unos rashoda i izdataka'!$L$3:$L$498,'Unos rashoda i izdataka'!$C$3:$C$498,"=51",'Unos rashoda i izdataka'!$P$3:$P$498,"=37")+SUMIFS('Unos rashoda P4'!$J$3:$J$496,'Unos rashoda P4'!$A$3:$A$496,"=51",'Unos rashoda P4'!$S$3:$S$496,"=37")</f>
        <v>0</v>
      </c>
      <c r="J68" s="61">
        <f>SUMIFS('Unos rashoda i izdataka'!$L$3:$L$498,'Unos rashoda i izdataka'!$C$3:$C$498,"=52",'Unos rashoda i izdataka'!$P$3:$P$498,"=37")+SUMIFS('Unos rashoda P4'!$J$3:$J$496,'Unos rashoda P4'!$A$3:$A$496,"=52",'Unos rashoda P4'!$S$3:$S$496,"=37")</f>
        <v>0</v>
      </c>
      <c r="K68" s="61">
        <f>SUMIFS('Unos rashoda i izdataka'!$L$3:$L$498,'Unos rashoda i izdataka'!$C$3:$C$498,"=552",'Unos rashoda i izdataka'!$P$3:$P$498,"=37")+SUMIFS('Unos rashoda P4'!$J$3:$J$496,'Unos rashoda P4'!$A$3:$A$496,"=552",'Unos rashoda P4'!$S$3:$S$496,"=37")</f>
        <v>0</v>
      </c>
      <c r="L68" s="61">
        <f>SUMIFS('Unos rashoda i izdataka'!$L$3:$L$498,'Unos rashoda i izdataka'!$C$3:$C$498,"=559",'Unos rashoda i izdataka'!$P$3:$P$498,"=37")+SUMIFS('Unos rashoda P4'!$J$3:$J$496,'Unos rashoda P4'!$A$3:$A$496,"=559",'Unos rashoda P4'!$S$3:$S$496,"=37")</f>
        <v>0</v>
      </c>
      <c r="M68" s="61">
        <f>SUMIFS('Unos rashoda i izdataka'!$L$3:$L$498,'Unos rashoda i izdataka'!$C$3:$C$498,"=561",'Unos rashoda i izdataka'!$P$3:$P$498,"=37")+SUMIFS('Unos rashoda P4'!$J$3:$J$496,'Unos rashoda P4'!$A$3:$A$496,"=561",'Unos rashoda P4'!$S$3:$S$496,"=37")</f>
        <v>0</v>
      </c>
      <c r="N68" s="61">
        <f>SUMIFS('Unos rashoda i izdataka'!$L$3:$L$498,'Unos rashoda i izdataka'!$C$3:$C$498,"=563",'Unos rashoda i izdataka'!$P$3:$P$498,"=37")+SUMIFS('Unos rashoda P4'!$J$3:$J$496,'Unos rashoda P4'!$A$3:$A$496,"=563",'Unos rashoda P4'!$S$3:$S$496,"=37")</f>
        <v>0</v>
      </c>
      <c r="O68" s="61">
        <f>SUMIFS('Unos rashoda i izdataka'!$L$3:$L$498,'Unos rashoda i izdataka'!$C$3:$C$498,"=573",'Unos rashoda i izdataka'!$P$3:$P$498,"=37")+SUMIFS('Unos rashoda P4'!$J$3:$J$496,'Unos rashoda P4'!$A$3:$A$496,"=573",'Unos rashoda P4'!$S$3:$S$496,"=37")</f>
        <v>0</v>
      </c>
      <c r="P68" s="61">
        <f>SUMIFS('Unos rashoda i izdataka'!$L$3:$L$498,'Unos rashoda i izdataka'!$C$3:$C$498,"=575",'Unos rashoda i izdataka'!$P$3:$P$498,"=37")+SUMIFS('Unos rashoda P4'!$J$3:$J$496,'Unos rashoda P4'!$A$3:$A$496,"=575",'Unos rashoda P4'!$S$3:$S$496,"=37")</f>
        <v>0</v>
      </c>
      <c r="Q68" s="61">
        <f>SUMIFS('Unos rashoda i izdataka'!$L$3:$L$498,'Unos rashoda i izdataka'!$Q$3:$Q$498,"=576",'Unos rashoda i izdataka'!$P$3:$P$498,"=37")+SUMIFS('Unos rashoda P4'!$J$3:$J$496,'Unos rashoda P4'!$A$3:$A$496,"=576",'Unos rashoda P4'!$S$3:$S$496,"=37")</f>
        <v>0</v>
      </c>
      <c r="R68" s="61">
        <f>SUMIFS('Unos rashoda i izdataka'!$L$3:$L$498,'Unos rashoda i izdataka'!$C$3:$C$498,"=581",'Unos rashoda i izdataka'!$P$3:$P$498,"=37")+SUMIFS('Unos rashoda P4'!$J$3:$J$496,'Unos rashoda P4'!$A$3:$A$496,"=581",'Unos rashoda P4'!$S$3:$S$496,"=37")</f>
        <v>0</v>
      </c>
      <c r="S68" s="61">
        <f>SUMIFS('Unos rashoda i izdataka'!$L$3:$L$498,'Unos rashoda i izdataka'!$C$3:$C$498,"=61",'Unos rashoda i izdataka'!$P$3:$P$498,"=37")+SUMIFS('Unos rashoda P4'!$J$3:$J$496,'Unos rashoda P4'!$A$3:$A$496,"=61",'Unos rashoda P4'!$S$3:$S$496,"=37")</f>
        <v>0</v>
      </c>
      <c r="T68" s="61">
        <f>SUMIFS('Unos rashoda i izdataka'!$L$3:$L$498,'Unos rashoda i izdataka'!$C$3:$C$498,"=63",'Unos rashoda i izdataka'!$P$3:$P$498,"=37")+SUMIFS('Unos rashoda P4'!$J$3:$J$496,'Unos rashoda P4'!$A$3:$A$496,"=63",'Unos rashoda P4'!$S$3:$S$496,"=37")</f>
        <v>0</v>
      </c>
      <c r="U68" s="61">
        <f>SUMIFS('Unos rashoda i izdataka'!$L$3:$L$498,'Unos rashoda i izdataka'!$C$3:$C$498,"=71",'Unos rashoda i izdataka'!$P$3:$P$498,"=37")+SUMIFS('Unos rashoda P4'!$J$3:$J$496,'Unos rashoda P4'!$A$3:$A$496,"=71",'Unos rashoda P4'!$S$3:$S$496,"=37")</f>
        <v>0</v>
      </c>
      <c r="V68" s="61">
        <f>SUMIFS('Unos rashoda i izdataka'!$L$3:$L$498,'Unos rashoda i izdataka'!$C$3:$C$498,"=81",'Unos rashoda i izdataka'!$P$3:$P$498,"=37")+SUMIFS('Unos rashoda P4'!$J$3:$J$496,'Unos rashoda P4'!$A$3:$A$496,"=81",'Unos rashoda P4'!$S$3:$S$496,"=37")</f>
        <v>0</v>
      </c>
    </row>
    <row r="69" spans="1:22" s="12" customFormat="1" ht="12.6" customHeight="1">
      <c r="A69" s="255">
        <v>38</v>
      </c>
      <c r="B69" s="9" t="s">
        <v>3582</v>
      </c>
      <c r="C69" s="58">
        <f t="shared" si="26"/>
        <v>0</v>
      </c>
      <c r="D69" s="61">
        <f>SUMIFS('Unos rashoda i izdataka'!$L$3:$L$498,'Unos rashoda i izdataka'!$C$3:$C$498,"=11",'Unos rashoda i izdataka'!$P$3:$P$498,"=38")+SUMIFS('Unos rashoda P4'!$J$3:$J$496,'Unos rashoda P4'!$A$3:$A$496,"=11",'Unos rashoda P4'!$S$3:$S$496,"=38")</f>
        <v>0</v>
      </c>
      <c r="E69" s="61">
        <f>SUMIFS('Unos rashoda i izdataka'!$L$3:$L$498,'Unos rashoda i izdataka'!$C$3:$C$498,"=12",'Unos rashoda i izdataka'!$P$3:$P$498,"=38")+SUMIFS('Unos rashoda P4'!$J$3:$J$496,'Unos rashoda P4'!$A$3:$A$496,"=12",'Unos rashoda P4'!$S$3:$S$496,"=38")</f>
        <v>0</v>
      </c>
      <c r="F69" s="61">
        <f>SUMIFS('Unos rashoda i izdataka'!$L$3:$L$498,'Unos rashoda i izdataka'!$C$3:$C$498,"=31",'Unos rashoda i izdataka'!$P$3:$P$498,"=38")+SUMIFS('Unos rashoda P4'!$J$3:$J$496,'Unos rashoda P4'!$A$3:$A$496,"=31",'Unos rashoda P4'!$S$3:$S$496,"=38")</f>
        <v>0</v>
      </c>
      <c r="G69" s="61">
        <f>SUMIFS('Unos rashoda i izdataka'!$L$3:$L$498,'Unos rashoda i izdataka'!$C$3:$C$498,"=41",'Unos rashoda i izdataka'!$P$3:$P$498,"=38")+SUMIFS('Unos rashoda P4'!$J$3:$J$496,'Unos rashoda P4'!$A$3:$A$496,"=41",'Unos rashoda P4'!$S$3:$S$496,"=38")</f>
        <v>0</v>
      </c>
      <c r="H69" s="61">
        <f>SUMIFS('Unos rashoda i izdataka'!$L$3:$L$498,'Unos rashoda i izdataka'!$C$3:$C$498,"=43",'Unos rashoda i izdataka'!$P$3:$P$498,"=38")+SUMIFS('Unos rashoda P4'!$J$3:$J$496,'Unos rashoda P4'!$A$3:$A$496,"=43",'Unos rashoda P4'!$S$3:$S$496,"=38")</f>
        <v>0</v>
      </c>
      <c r="I69" s="61">
        <f>SUMIFS('Unos rashoda i izdataka'!$L$3:$L$498,'Unos rashoda i izdataka'!$C$3:$C$498,"=51",'Unos rashoda i izdataka'!$P$3:$P$498,"=38")+SUMIFS('Unos rashoda P4'!$J$3:$J$496,'Unos rashoda P4'!$A$3:$A$496,"=51",'Unos rashoda P4'!$S$3:$S$496,"=38")</f>
        <v>0</v>
      </c>
      <c r="J69" s="61">
        <f>SUMIFS('Unos rashoda i izdataka'!$L$3:$L$498,'Unos rashoda i izdataka'!$C$3:$C$498,"=52",'Unos rashoda i izdataka'!$P$3:$P$498,"=38")+SUMIFS('Unos rashoda P4'!$J$3:$J$496,'Unos rashoda P4'!$A$3:$A$496,"=52",'Unos rashoda P4'!$S$3:$S$496,"=38")</f>
        <v>0</v>
      </c>
      <c r="K69" s="61">
        <f>SUMIFS('Unos rashoda i izdataka'!$L$3:$L$498,'Unos rashoda i izdataka'!$C$3:$C$498,"=552",'Unos rashoda i izdataka'!$P$3:$P$498,"=38")+SUMIFS('Unos rashoda P4'!$J$3:$J$496,'Unos rashoda P4'!$A$3:$A$496,"=552",'Unos rashoda P4'!$S$3:$S$496,"=38")</f>
        <v>0</v>
      </c>
      <c r="L69" s="61">
        <f>SUMIFS('Unos rashoda i izdataka'!$L$3:$L$498,'Unos rashoda i izdataka'!$C$3:$C$498,"=559",'Unos rashoda i izdataka'!$P$3:$P$498,"=38")+SUMIFS('Unos rashoda P4'!$J$3:$J$496,'Unos rashoda P4'!$A$3:$A$496,"=559",'Unos rashoda P4'!$S$3:$S$496,"=38")</f>
        <v>0</v>
      </c>
      <c r="M69" s="61">
        <f>SUMIFS('Unos rashoda i izdataka'!$L$3:$L$498,'Unos rashoda i izdataka'!$C$3:$C$498,"=561",'Unos rashoda i izdataka'!$P$3:$P$498,"=38")+SUMIFS('Unos rashoda P4'!$J$3:$J$496,'Unos rashoda P4'!$A$3:$A$496,"=561",'Unos rashoda P4'!$S$3:$S$496,"=38")</f>
        <v>0</v>
      </c>
      <c r="N69" s="61">
        <f>SUMIFS('Unos rashoda i izdataka'!$L$3:$L$498,'Unos rashoda i izdataka'!$C$3:$C$498,"=563",'Unos rashoda i izdataka'!$P$3:$P$498,"=38")+SUMIFS('Unos rashoda P4'!$J$3:$J$496,'Unos rashoda P4'!$A$3:$A$496,"=563",'Unos rashoda P4'!$S$3:$S$496,"=38")</f>
        <v>0</v>
      </c>
      <c r="O69" s="61">
        <f>SUMIFS('Unos rashoda i izdataka'!$L$3:$L$498,'Unos rashoda i izdataka'!$C$3:$C$498,"=573",'Unos rashoda i izdataka'!$P$3:$P$498,"=38")+SUMIFS('Unos rashoda P4'!$J$3:$J$496,'Unos rashoda P4'!$A$3:$A$496,"=573",'Unos rashoda P4'!$S$3:$S$496,"=38")</f>
        <v>0</v>
      </c>
      <c r="P69" s="61">
        <f>SUMIFS('Unos rashoda i izdataka'!$L$3:$L$498,'Unos rashoda i izdataka'!$C$3:$C$498,"=575",'Unos rashoda i izdataka'!$P$3:$P$498,"=38")+SUMIFS('Unos rashoda P4'!$J$3:$J$496,'Unos rashoda P4'!$A$3:$A$496,"=575",'Unos rashoda P4'!$S$3:$S$496,"=38")</f>
        <v>0</v>
      </c>
      <c r="Q69" s="61">
        <f>SUMIFS('Unos rashoda i izdataka'!$L$3:$L$498,'Unos rashoda i izdataka'!$Q$3:$Q$498,"=576",'Unos rashoda i izdataka'!$P$3:$P$498,"=38")+SUMIFS('Unos rashoda P4'!$J$3:$J$496,'Unos rashoda P4'!$A$3:$A$496,"=576",'Unos rashoda P4'!$S$3:$S$496,"=38")</f>
        <v>0</v>
      </c>
      <c r="R69" s="61">
        <f>SUMIFS('Unos rashoda i izdataka'!$L$3:$L$498,'Unos rashoda i izdataka'!$C$3:$C$498,"=581",'Unos rashoda i izdataka'!$P$3:$P$498,"=38")+SUMIFS('Unos rashoda P4'!$J$3:$J$496,'Unos rashoda P4'!$A$3:$A$496,"=581",'Unos rashoda P4'!$S$3:$S$496,"=38")</f>
        <v>0</v>
      </c>
      <c r="S69" s="61">
        <f>SUMIFS('Unos rashoda i izdataka'!$L$3:$L$498,'Unos rashoda i izdataka'!$C$3:$C$498,"=61",'Unos rashoda i izdataka'!$P$3:$P$498,"=38")+SUMIFS('Unos rashoda P4'!$J$3:$J$496,'Unos rashoda P4'!$A$3:$A$496,"=61",'Unos rashoda P4'!$S$3:$S$496,"=38")</f>
        <v>0</v>
      </c>
      <c r="T69" s="61">
        <f>SUMIFS('Unos rashoda i izdataka'!$L$3:$L$498,'Unos rashoda i izdataka'!$C$3:$C$498,"=63",'Unos rashoda i izdataka'!$P$3:$P$498,"=38")+SUMIFS('Unos rashoda P4'!$J$3:$J$496,'Unos rashoda P4'!$A$3:$A$496,"=63",'Unos rashoda P4'!$S$3:$S$496,"=38")</f>
        <v>0</v>
      </c>
      <c r="U69" s="61">
        <f>SUMIFS('Unos rashoda i izdataka'!$L$3:$L$498,'Unos rashoda i izdataka'!$C$3:$C$498,"=71",'Unos rashoda i izdataka'!$P$3:$P$498,"=38")+SUMIFS('Unos rashoda P4'!$J$3:$J$496,'Unos rashoda P4'!$A$3:$A$496,"=71",'Unos rashoda P4'!$S$3:$S$496,"=38")</f>
        <v>0</v>
      </c>
      <c r="V69" s="61">
        <f>SUMIFS('Unos rashoda i izdataka'!$L$3:$L$498,'Unos rashoda i izdataka'!$C$3:$C$498,"=81",'Unos rashoda i izdataka'!$P$3:$P$498,"=38")+SUMIFS('Unos rashoda P4'!$J$3:$J$496,'Unos rashoda P4'!$A$3:$A$496,"=81",'Unos rashoda P4'!$S$3:$S$496,"=38")</f>
        <v>0</v>
      </c>
    </row>
    <row r="70" spans="1:22" s="13" customFormat="1" ht="12.6" customHeight="1">
      <c r="A70" s="256">
        <v>4</v>
      </c>
      <c r="B70" s="54" t="s">
        <v>3583</v>
      </c>
      <c r="C70" s="53">
        <f t="shared" si="26"/>
        <v>53022</v>
      </c>
      <c r="D70" s="56">
        <f>+D71+D72+D73+D74+D75</f>
        <v>0</v>
      </c>
      <c r="E70" s="56">
        <f t="shared" ref="E70" si="30">+E71+E72+E73+E74+E75</f>
        <v>0</v>
      </c>
      <c r="F70" s="56">
        <f t="shared" ref="F70" si="31">+F71+F72+F73+F74+F75</f>
        <v>1547</v>
      </c>
      <c r="G70" s="56">
        <f t="shared" ref="G70" si="32">+G71+G72+G73+G74+G75</f>
        <v>0</v>
      </c>
      <c r="H70" s="56">
        <f t="shared" ref="H70" si="33">+H71+H72+H73+H74+H75</f>
        <v>49966</v>
      </c>
      <c r="I70" s="56">
        <f t="shared" ref="I70" si="34">+I71+I72+I73+I74+I75</f>
        <v>0</v>
      </c>
      <c r="J70" s="56">
        <f t="shared" ref="J70" si="35">+J71+J72+J73+J74+J75</f>
        <v>0</v>
      </c>
      <c r="K70" s="56">
        <f t="shared" ref="K70" si="36">+K71+K72+K73+K74+K75</f>
        <v>0</v>
      </c>
      <c r="L70" s="56">
        <f t="shared" ref="L70" si="37">+L71+L72+L73+L74+L75</f>
        <v>0</v>
      </c>
      <c r="M70" s="56">
        <f t="shared" ref="M70" si="38">+M71+M72+M73+M74+M75</f>
        <v>1509</v>
      </c>
      <c r="N70" s="56">
        <f t="shared" ref="N70" si="39">+N71+N72+N73+N74+N75</f>
        <v>0</v>
      </c>
      <c r="O70" s="56">
        <f t="shared" ref="O70" si="40">+O71+O72+O73+O74+O75</f>
        <v>0</v>
      </c>
      <c r="P70" s="56">
        <f t="shared" ref="P70" si="41">+P71+P72+P73+P74+P75</f>
        <v>0</v>
      </c>
      <c r="Q70" s="56">
        <f t="shared" ref="Q70" si="42">+Q71+Q72+Q73+Q74+Q75</f>
        <v>0</v>
      </c>
      <c r="R70" s="56">
        <f t="shared" ref="R70" si="43">+R71+R72+R73+R74+R75</f>
        <v>0</v>
      </c>
      <c r="S70" s="56">
        <f t="shared" ref="S70" si="44">+S71+S72+S73+S74+S75</f>
        <v>0</v>
      </c>
      <c r="T70" s="56">
        <f t="shared" ref="T70" si="45">+T71+T72+T73+T74+T75</f>
        <v>0</v>
      </c>
      <c r="U70" s="56">
        <f t="shared" ref="U70" si="46">+U71+U72+U73+U74+U75</f>
        <v>0</v>
      </c>
      <c r="V70" s="56">
        <f t="shared" ref="V70" si="47">+V71+V72+V73+V74+V75</f>
        <v>0</v>
      </c>
    </row>
    <row r="71" spans="1:22" s="8" customFormat="1" ht="12.6" customHeight="1">
      <c r="A71" s="254">
        <v>41</v>
      </c>
      <c r="B71" s="7" t="s">
        <v>3584</v>
      </c>
      <c r="C71" s="58">
        <f t="shared" si="26"/>
        <v>0</v>
      </c>
      <c r="D71" s="61">
        <f>SUMIFS('Unos rashoda i izdataka'!$L$3:$L$498,'Unos rashoda i izdataka'!$C$3:$C$498,"=11",'Unos rashoda i izdataka'!$P$3:$P$498,"=41")+SUMIFS('Unos rashoda P4'!$J$3:$J$496,'Unos rashoda P4'!$A$3:$A$496,"=11",'Unos rashoda P4'!$S$3:$S$496,"=41")</f>
        <v>0</v>
      </c>
      <c r="E71" s="61">
        <f>SUMIFS('Unos rashoda i izdataka'!$L$3:$L$498,'Unos rashoda i izdataka'!$C$3:$C$498,"=12",'Unos rashoda i izdataka'!$P$3:$P$498,"=41")+SUMIFS('Unos rashoda P4'!$J$3:$J$496,'Unos rashoda P4'!$A$3:$A$496,"=12",'Unos rashoda P4'!$S$3:$S$496,"=41")</f>
        <v>0</v>
      </c>
      <c r="F71" s="61">
        <f>SUMIFS('Unos rashoda i izdataka'!$L$3:$L$498,'Unos rashoda i izdataka'!$C$3:$C$498,"=31",'Unos rashoda i izdataka'!$P$3:$P$498,"=41")+SUMIFS('Unos rashoda P4'!$J$3:$J$496,'Unos rashoda P4'!$A$3:$A$496,"=31",'Unos rashoda P4'!$S$3:$S$496,"=41")</f>
        <v>0</v>
      </c>
      <c r="G71" s="61">
        <f>SUMIFS('Unos rashoda i izdataka'!$L$3:$L$498,'Unos rashoda i izdataka'!$C$3:$C$498,"=41",'Unos rashoda i izdataka'!$P$3:$P$498,"=41")+SUMIFS('Unos rashoda P4'!$J$3:$J$496,'Unos rashoda P4'!$A$3:$A$496,"=41",'Unos rashoda P4'!$S$3:$S$496,"=41")</f>
        <v>0</v>
      </c>
      <c r="H71" s="61">
        <f>SUMIFS('Unos rashoda i izdataka'!$L$3:$L$498,'Unos rashoda i izdataka'!$C$3:$C$498,"=43",'Unos rashoda i izdataka'!$P$3:$P$498,"=41")+SUMIFS('Unos rashoda P4'!$J$3:$J$496,'Unos rashoda P4'!$A$3:$A$496,"=43",'Unos rashoda P4'!$S$3:$S$496,"=41")</f>
        <v>0</v>
      </c>
      <c r="I71" s="61">
        <f>SUMIFS('Unos rashoda i izdataka'!$L$3:$L$498,'Unos rashoda i izdataka'!$C$3:$C$498,"=51",'Unos rashoda i izdataka'!$P$3:$P$498,"=41")+SUMIFS('Unos rashoda P4'!$J$3:$J$496,'Unos rashoda P4'!$A$3:$A$496,"=51",'Unos rashoda P4'!$S$3:$S$496,"=41")</f>
        <v>0</v>
      </c>
      <c r="J71" s="61">
        <f>SUMIFS('Unos rashoda i izdataka'!$L$3:$L$498,'Unos rashoda i izdataka'!$C$3:$C$498,"=52",'Unos rashoda i izdataka'!$P$3:$P$498,"=41")+SUMIFS('Unos rashoda P4'!$J$3:$J$496,'Unos rashoda P4'!$A$3:$A$496,"=52",'Unos rashoda P4'!$S$3:$S$496,"=41")</f>
        <v>0</v>
      </c>
      <c r="K71" s="61">
        <f>SUMIFS('Unos rashoda i izdataka'!$L$3:$L$498,'Unos rashoda i izdataka'!$C$3:$C$498,"=552",'Unos rashoda i izdataka'!$P$3:$P$498,"=41")+SUMIFS('Unos rashoda P4'!$J$3:$J$496,'Unos rashoda P4'!$A$3:$A$496,"=552",'Unos rashoda P4'!$S$3:$S$496,"=41")</f>
        <v>0</v>
      </c>
      <c r="L71" s="61">
        <f>SUMIFS('Unos rashoda i izdataka'!$L$3:$L$498,'Unos rashoda i izdataka'!$C$3:$C$498,"=559",'Unos rashoda i izdataka'!$P$3:$P$498,"=41")+SUMIFS('Unos rashoda P4'!$J$3:$J$496,'Unos rashoda P4'!$A$3:$A$496,"=559",'Unos rashoda P4'!$S$3:$S$496,"=41")</f>
        <v>0</v>
      </c>
      <c r="M71" s="61">
        <f>SUMIFS('Unos rashoda i izdataka'!$L$3:$L$498,'Unos rashoda i izdataka'!$C$3:$C$498,"=561",'Unos rashoda i izdataka'!$P$3:$P$498,"=41")+SUMIFS('Unos rashoda P4'!$J$3:$J$496,'Unos rashoda P4'!$A$3:$A$496,"=561",'Unos rashoda P4'!$S$3:$S$496,"=41")</f>
        <v>0</v>
      </c>
      <c r="N71" s="61">
        <f>SUMIFS('Unos rashoda i izdataka'!$L$3:$L$498,'Unos rashoda i izdataka'!$C$3:$C$498,"=563",'Unos rashoda i izdataka'!$P$3:$P$498,"=41")+SUMIFS('Unos rashoda P4'!$J$3:$J$496,'Unos rashoda P4'!$A$3:$A$496,"=563",'Unos rashoda P4'!$S$3:$S$496,"=41")</f>
        <v>0</v>
      </c>
      <c r="O71" s="61">
        <f>SUMIFS('Unos rashoda i izdataka'!$L$3:$L$498,'Unos rashoda i izdataka'!$C$3:$C$498,"=573",'Unos rashoda i izdataka'!$P$3:$P$498,"=41")+SUMIFS('Unos rashoda P4'!$J$3:$J$496,'Unos rashoda P4'!$A$3:$A$496,"=573",'Unos rashoda P4'!$S$3:$S$496,"=41")</f>
        <v>0</v>
      </c>
      <c r="P71" s="61">
        <f>SUMIFS('Unos rashoda i izdataka'!$L$3:$L$498,'Unos rashoda i izdataka'!$C$3:$C$498,"=575",'Unos rashoda i izdataka'!$P$3:$P$498,"=41")+SUMIFS('Unos rashoda P4'!$J$3:$J$496,'Unos rashoda P4'!$A$3:$A$496,"=575",'Unos rashoda P4'!$S$3:$S$496,"=41")</f>
        <v>0</v>
      </c>
      <c r="Q71" s="61">
        <f>SUMIFS('Unos rashoda i izdataka'!$L$3:$L$498,'Unos rashoda i izdataka'!$Q$3:$Q$498,"=576",'Unos rashoda i izdataka'!$P$3:$P$498,"=41")+SUMIFS('Unos rashoda P4'!$J$3:$J$496,'Unos rashoda P4'!$A$3:$A$496,"=576",'Unos rashoda P4'!$S$3:$S$496,"=41")</f>
        <v>0</v>
      </c>
      <c r="R71" s="61">
        <f>SUMIFS('Unos rashoda i izdataka'!$L$3:$L$498,'Unos rashoda i izdataka'!$C$3:$C$498,"=581",'Unos rashoda i izdataka'!$P$3:$P$498,"=41")+SUMIFS('Unos rashoda P4'!$J$3:$J$496,'Unos rashoda P4'!$A$3:$A$496,"=581",'Unos rashoda P4'!$S$3:$S$496,"=41")</f>
        <v>0</v>
      </c>
      <c r="S71" s="61">
        <f>SUMIFS('Unos rashoda i izdataka'!$L$3:$L$498,'Unos rashoda i izdataka'!$C$3:$C$498,"=61",'Unos rashoda i izdataka'!$P$3:$P$498,"=41")+SUMIFS('Unos rashoda P4'!$J$3:$J$496,'Unos rashoda P4'!$A$3:$A$496,"=61",'Unos rashoda P4'!$S$3:$S$496,"=41")</f>
        <v>0</v>
      </c>
      <c r="T71" s="61">
        <f>SUMIFS('Unos rashoda i izdataka'!$L$3:$L$498,'Unos rashoda i izdataka'!$C$3:$C$498,"=63",'Unos rashoda i izdataka'!$P$3:$P$498,"=41")+SUMIFS('Unos rashoda P4'!$J$3:$J$496,'Unos rashoda P4'!$A$3:$A$496,"=63",'Unos rashoda P4'!$S$3:$S$496,"=41")</f>
        <v>0</v>
      </c>
      <c r="U71" s="61">
        <f>SUMIFS('Unos rashoda i izdataka'!$L$3:$L$498,'Unos rashoda i izdataka'!$C$3:$C$498,"=71",'Unos rashoda i izdataka'!$P$3:$P$498,"=41")+SUMIFS('Unos rashoda P4'!$J$3:$J$496,'Unos rashoda P4'!$A$3:$A$496,"=71",'Unos rashoda P4'!$S$3:$S$496,"=41")</f>
        <v>0</v>
      </c>
      <c r="V71" s="61">
        <f>SUMIFS('Unos rashoda i izdataka'!$L$3:$L$498,'Unos rashoda i izdataka'!$C$3:$C$498,"=81",'Unos rashoda i izdataka'!$P$3:$P$498,"=41")+SUMIFS('Unos rashoda P4'!$J$3:$J$496,'Unos rashoda P4'!$A$3:$A$496,"=81",'Unos rashoda P4'!$S$3:$S$496,"=41")</f>
        <v>0</v>
      </c>
    </row>
    <row r="72" spans="1:22" s="12" customFormat="1" ht="12.6" customHeight="1">
      <c r="A72" s="255">
        <v>42</v>
      </c>
      <c r="B72" s="9" t="s">
        <v>3585</v>
      </c>
      <c r="C72" s="58">
        <f t="shared" si="26"/>
        <v>53022</v>
      </c>
      <c r="D72" s="61">
        <f>SUMIFS('Unos rashoda i izdataka'!$L$3:$L$498,'Unos rashoda i izdataka'!$C$3:$C$498,"=11",'Unos rashoda i izdataka'!$P$3:$P$498,"=42")+SUMIFS('Unos rashoda P4'!$J$3:$J$496,'Unos rashoda P4'!$A$3:$A$496,"=11",'Unos rashoda P4'!$S$3:$S$496,"=42")</f>
        <v>0</v>
      </c>
      <c r="E72" s="61">
        <f>SUMIFS('Unos rashoda i izdataka'!$L$3:$L$498,'Unos rashoda i izdataka'!$C$3:$C$498,"=12",'Unos rashoda i izdataka'!$P$3:$P$498,"=42")+SUMIFS('Unos rashoda P4'!$J$3:$J$496,'Unos rashoda P4'!$A$3:$A$496,"=12",'Unos rashoda P4'!$S$3:$S$496,"=42")</f>
        <v>0</v>
      </c>
      <c r="F72" s="61">
        <f>SUMIFS('Unos rashoda i izdataka'!$L$3:$L$498,'Unos rashoda i izdataka'!$C$3:$C$498,"=31",'Unos rashoda i izdataka'!$P$3:$P$498,"=42")+SUMIFS('Unos rashoda P4'!$J$3:$J$496,'Unos rashoda P4'!$A$3:$A$496,"=31",'Unos rashoda P4'!$S$3:$S$496,"=42")</f>
        <v>1547</v>
      </c>
      <c r="G72" s="61">
        <f>SUMIFS('Unos rashoda i izdataka'!$L$3:$L$498,'Unos rashoda i izdataka'!$C$3:$C$498,"=41",'Unos rashoda i izdataka'!$P$3:$P$498,"=42")+SUMIFS('Unos rashoda P4'!$J$3:$J$496,'Unos rashoda P4'!$A$3:$A$496,"=41",'Unos rashoda P4'!$S$3:$S$496,"=42")</f>
        <v>0</v>
      </c>
      <c r="H72" s="61">
        <f>SUMIFS('Unos rashoda i izdataka'!$L$3:$L$498,'Unos rashoda i izdataka'!$C$3:$C$498,"=43",'Unos rashoda i izdataka'!$P$3:$P$498,"=42")+SUMIFS('Unos rashoda P4'!$J$3:$J$496,'Unos rashoda P4'!$A$3:$A$496,"=43",'Unos rashoda P4'!$S$3:$S$496,"=42")</f>
        <v>49966</v>
      </c>
      <c r="I72" s="61">
        <f>SUMIFS('Unos rashoda i izdataka'!$L$3:$L$498,'Unos rashoda i izdataka'!$C$3:$C$498,"=51",'Unos rashoda i izdataka'!$P$3:$P$498,"=42")+SUMIFS('Unos rashoda P4'!$J$3:$J$496,'Unos rashoda P4'!$A$3:$A$496,"=51",'Unos rashoda P4'!$S$3:$S$496,"=42")</f>
        <v>0</v>
      </c>
      <c r="J72" s="61">
        <f>SUMIFS('Unos rashoda i izdataka'!$L$3:$L$498,'Unos rashoda i izdataka'!$C$3:$C$498,"=52",'Unos rashoda i izdataka'!$P$3:$P$498,"=42")+SUMIFS('Unos rashoda P4'!$J$3:$J$496,'Unos rashoda P4'!$A$3:$A$496,"=52",'Unos rashoda P4'!$S$3:$S$496,"=42")</f>
        <v>0</v>
      </c>
      <c r="K72" s="61">
        <f>SUMIFS('Unos rashoda i izdataka'!$L$3:$L$498,'Unos rashoda i izdataka'!$C$3:$C$498,"=552",'Unos rashoda i izdataka'!$P$3:$P$498,"=42")+SUMIFS('Unos rashoda P4'!$J$3:$J$496,'Unos rashoda P4'!$A$3:$A$496,"=552",'Unos rashoda P4'!$S$3:$S$496,"=42")</f>
        <v>0</v>
      </c>
      <c r="L72" s="61">
        <f>SUMIFS('Unos rashoda i izdataka'!$L$3:$L$498,'Unos rashoda i izdataka'!$C$3:$C$498,"=559",'Unos rashoda i izdataka'!$P$3:$P$498,"=42")+SUMIFS('Unos rashoda P4'!$J$3:$J$496,'Unos rashoda P4'!$A$3:$A$496,"=559",'Unos rashoda P4'!$S$3:$S$496,"=42")</f>
        <v>0</v>
      </c>
      <c r="M72" s="61">
        <f>SUMIFS('Unos rashoda i izdataka'!$L$3:$L$498,'Unos rashoda i izdataka'!$C$3:$C$498,"=561",'Unos rashoda i izdataka'!$P$3:$P$498,"=42")+SUMIFS('Unos rashoda P4'!$J$3:$J$496,'Unos rashoda P4'!$A$3:$A$496,"=561",'Unos rashoda P4'!$S$3:$S$496,"=42")</f>
        <v>1509</v>
      </c>
      <c r="N72" s="61">
        <f>SUMIFS('Unos rashoda i izdataka'!$L$3:$L$498,'Unos rashoda i izdataka'!$C$3:$C$498,"=563",'Unos rashoda i izdataka'!$P$3:$P$498,"=42")+SUMIFS('Unos rashoda P4'!$J$3:$J$496,'Unos rashoda P4'!$A$3:$A$496,"=563",'Unos rashoda P4'!$S$3:$S$496,"=42")</f>
        <v>0</v>
      </c>
      <c r="O72" s="61">
        <f>SUMIFS('Unos rashoda i izdataka'!$L$3:$L$498,'Unos rashoda i izdataka'!$C$3:$C$498,"=573",'Unos rashoda i izdataka'!$P$3:$P$498,"=42")+SUMIFS('Unos rashoda P4'!$J$3:$J$496,'Unos rashoda P4'!$A$3:$A$496,"=573",'Unos rashoda P4'!$S$3:$S$496,"=42")</f>
        <v>0</v>
      </c>
      <c r="P72" s="61">
        <f>SUMIFS('Unos rashoda i izdataka'!$L$3:$L$498,'Unos rashoda i izdataka'!$C$3:$C$498,"=575",'Unos rashoda i izdataka'!$P$3:$P$498,"=42")+SUMIFS('Unos rashoda P4'!$J$3:$J$496,'Unos rashoda P4'!$A$3:$A$496,"=575",'Unos rashoda P4'!$S$3:$S$496,"=42")</f>
        <v>0</v>
      </c>
      <c r="Q72" s="61">
        <f>SUMIFS('Unos rashoda i izdataka'!$L$3:$L$498,'Unos rashoda i izdataka'!$Q$3:$Q$498,"=576",'Unos rashoda i izdataka'!$P$3:$P$498,"=42")+SUMIFS('Unos rashoda P4'!$J$3:$J$496,'Unos rashoda P4'!$A$3:$A$496,"=576",'Unos rashoda P4'!$S$3:$S$496,"=42")</f>
        <v>0</v>
      </c>
      <c r="R72" s="61">
        <f>SUMIFS('Unos rashoda i izdataka'!$L$3:$L$498,'Unos rashoda i izdataka'!$C$3:$C$498,"=581",'Unos rashoda i izdataka'!$P$3:$P$498,"=42")+SUMIFS('Unos rashoda P4'!$J$3:$J$496,'Unos rashoda P4'!$A$3:$A$496,"=581",'Unos rashoda P4'!$S$3:$S$496,"=42")</f>
        <v>0</v>
      </c>
      <c r="S72" s="61">
        <f>SUMIFS('Unos rashoda i izdataka'!$L$3:$L$498,'Unos rashoda i izdataka'!$C$3:$C$498,"=61",'Unos rashoda i izdataka'!$P$3:$P$498,"=42")+SUMIFS('Unos rashoda P4'!$J$3:$J$496,'Unos rashoda P4'!$A$3:$A$496,"=61",'Unos rashoda P4'!$S$3:$S$496,"=42")</f>
        <v>0</v>
      </c>
      <c r="T72" s="61">
        <f>SUMIFS('Unos rashoda i izdataka'!$L$3:$L$498,'Unos rashoda i izdataka'!$C$3:$C$498,"=63",'Unos rashoda i izdataka'!$P$3:$P$498,"=42")+SUMIFS('Unos rashoda P4'!$J$3:$J$496,'Unos rashoda P4'!$A$3:$A$496,"=63",'Unos rashoda P4'!$S$3:$S$496,"=42")</f>
        <v>0</v>
      </c>
      <c r="U72" s="61">
        <f>SUMIFS('Unos rashoda i izdataka'!$L$3:$L$498,'Unos rashoda i izdataka'!$C$3:$C$498,"=71",'Unos rashoda i izdataka'!$P$3:$P$498,"=42")+SUMIFS('Unos rashoda P4'!$J$3:$J$496,'Unos rashoda P4'!$A$3:$A$496,"=71",'Unos rashoda P4'!$S$3:$S$496,"=42")</f>
        <v>0</v>
      </c>
      <c r="V72" s="61">
        <f>SUMIFS('Unos rashoda i izdataka'!$L$3:$L$498,'Unos rashoda i izdataka'!$C$3:$C$498,"=81",'Unos rashoda i izdataka'!$P$3:$P$498,"=42")+SUMIFS('Unos rashoda P4'!$J$3:$J$496,'Unos rashoda P4'!$A$3:$A$496,"=81",'Unos rashoda P4'!$S$3:$S$496,"=42")</f>
        <v>0</v>
      </c>
    </row>
    <row r="73" spans="1:22" s="8" customFormat="1" ht="12.6" customHeight="1">
      <c r="A73" s="254">
        <v>43</v>
      </c>
      <c r="B73" s="7" t="s">
        <v>3586</v>
      </c>
      <c r="C73" s="58">
        <f t="shared" si="26"/>
        <v>0</v>
      </c>
      <c r="D73" s="61">
        <f>SUMIFS('Unos rashoda i izdataka'!$L$3:$L$498,'Unos rashoda i izdataka'!$C$3:$C$498,"=11",'Unos rashoda i izdataka'!$P$3:$P$498,"=43")+SUMIFS('Unos rashoda P4'!$J$3:$J$496,'Unos rashoda P4'!$A$3:$A$496,"=11",'Unos rashoda P4'!$S$3:$S$496,"=43")</f>
        <v>0</v>
      </c>
      <c r="E73" s="61">
        <f>SUMIFS('Unos rashoda i izdataka'!$L$3:$L$498,'Unos rashoda i izdataka'!$C$3:$C$498,"=12",'Unos rashoda i izdataka'!$P$3:$P$498,"=43")+SUMIFS('Unos rashoda P4'!$J$3:$J$496,'Unos rashoda P4'!$A$3:$A$496,"=12",'Unos rashoda P4'!$S$3:$S$496,"=43")</f>
        <v>0</v>
      </c>
      <c r="F73" s="61">
        <f>SUMIFS('Unos rashoda i izdataka'!$L$3:$L$498,'Unos rashoda i izdataka'!$C$3:$C$498,"=31",'Unos rashoda i izdataka'!$P$3:$P$498,"=43")+SUMIFS('Unos rashoda P4'!$J$3:$J$496,'Unos rashoda P4'!$A$3:$A$496,"=31",'Unos rashoda P4'!$S$3:$S$496,"=43")</f>
        <v>0</v>
      </c>
      <c r="G73" s="61">
        <f>SUMIFS('Unos rashoda i izdataka'!$L$3:$L$498,'Unos rashoda i izdataka'!$C$3:$C$498,"=41",'Unos rashoda i izdataka'!$P$3:$P$498,"=43")+SUMIFS('Unos rashoda P4'!$J$3:$J$496,'Unos rashoda P4'!$A$3:$A$496,"=41",'Unos rashoda P4'!$S$3:$S$496,"=43")</f>
        <v>0</v>
      </c>
      <c r="H73" s="61">
        <f>SUMIFS('Unos rashoda i izdataka'!$L$3:$L$498,'Unos rashoda i izdataka'!$C$3:$C$498,"=43",'Unos rashoda i izdataka'!$P$3:$P$498,"=43")+SUMIFS('Unos rashoda P4'!$J$3:$J$496,'Unos rashoda P4'!$A$3:$A$496,"=43",'Unos rashoda P4'!$S$3:$S$496,"=43")</f>
        <v>0</v>
      </c>
      <c r="I73" s="61">
        <f>SUMIFS('Unos rashoda i izdataka'!$L$3:$L$498,'Unos rashoda i izdataka'!$C$3:$C$498,"=51",'Unos rashoda i izdataka'!$P$3:$P$498,"=43")+SUMIFS('Unos rashoda P4'!$J$3:$J$496,'Unos rashoda P4'!$A$3:$A$496,"=51",'Unos rashoda P4'!$S$3:$S$496,"=43")</f>
        <v>0</v>
      </c>
      <c r="J73" s="61">
        <f>SUMIFS('Unos rashoda i izdataka'!$L$3:$L$498,'Unos rashoda i izdataka'!$C$3:$C$498,"=52",'Unos rashoda i izdataka'!$P$3:$P$498,"=43")+SUMIFS('Unos rashoda P4'!$J$3:$J$496,'Unos rashoda P4'!$A$3:$A$496,"=52",'Unos rashoda P4'!$S$3:$S$496,"=43")</f>
        <v>0</v>
      </c>
      <c r="K73" s="61">
        <f>SUMIFS('Unos rashoda i izdataka'!$L$3:$L$498,'Unos rashoda i izdataka'!$C$3:$C$498,"=552",'Unos rashoda i izdataka'!$P$3:$P$498,"=43")+SUMIFS('Unos rashoda P4'!$J$3:$J$496,'Unos rashoda P4'!$A$3:$A$496,"=552",'Unos rashoda P4'!$S$3:$S$496,"=43")</f>
        <v>0</v>
      </c>
      <c r="L73" s="61">
        <f>SUMIFS('Unos rashoda i izdataka'!$L$3:$L$498,'Unos rashoda i izdataka'!$C$3:$C$498,"=559",'Unos rashoda i izdataka'!$P$3:$P$498,"=43")+SUMIFS('Unos rashoda P4'!$J$3:$J$496,'Unos rashoda P4'!$A$3:$A$496,"=559",'Unos rashoda P4'!$S$3:$S$496,"=43")</f>
        <v>0</v>
      </c>
      <c r="M73" s="61">
        <f>SUMIFS('Unos rashoda i izdataka'!$L$3:$L$498,'Unos rashoda i izdataka'!$C$3:$C$498,"=561",'Unos rashoda i izdataka'!$P$3:$P$498,"=43")+SUMIFS('Unos rashoda P4'!$J$3:$J$496,'Unos rashoda P4'!$A$3:$A$496,"=561",'Unos rashoda P4'!$S$3:$S$496,"=43")</f>
        <v>0</v>
      </c>
      <c r="N73" s="61">
        <f>SUMIFS('Unos rashoda i izdataka'!$L$3:$L$498,'Unos rashoda i izdataka'!$C$3:$C$498,"=563",'Unos rashoda i izdataka'!$P$3:$P$498,"=43")+SUMIFS('Unos rashoda P4'!$J$3:$J$496,'Unos rashoda P4'!$A$3:$A$496,"=563",'Unos rashoda P4'!$S$3:$S$496,"=43")</f>
        <v>0</v>
      </c>
      <c r="O73" s="61">
        <f>SUMIFS('Unos rashoda i izdataka'!$L$3:$L$498,'Unos rashoda i izdataka'!$C$3:$C$498,"=573",'Unos rashoda i izdataka'!$P$3:$P$498,"=43")+SUMIFS('Unos rashoda P4'!$J$3:$J$496,'Unos rashoda P4'!$A$3:$A$496,"=573",'Unos rashoda P4'!$S$3:$S$496,"=43")</f>
        <v>0</v>
      </c>
      <c r="P73" s="61">
        <f>SUMIFS('Unos rashoda i izdataka'!$L$3:$L$498,'Unos rashoda i izdataka'!$C$3:$C$498,"=575",'Unos rashoda i izdataka'!$P$3:$P$498,"=43")+SUMIFS('Unos rashoda P4'!$J$3:$J$496,'Unos rashoda P4'!$A$3:$A$496,"=575",'Unos rashoda P4'!$S$3:$S$496,"=43")</f>
        <v>0</v>
      </c>
      <c r="Q73" s="61">
        <f>SUMIFS('Unos rashoda i izdataka'!$L$3:$L$498,'Unos rashoda i izdataka'!$Q$3:$Q$498,"=576",'Unos rashoda i izdataka'!$P$3:$P$498,"=43")+SUMIFS('Unos rashoda P4'!$J$3:$J$496,'Unos rashoda P4'!$A$3:$A$496,"=576",'Unos rashoda P4'!$S$3:$S$496,"=43")</f>
        <v>0</v>
      </c>
      <c r="R73" s="61">
        <f>SUMIFS('Unos rashoda i izdataka'!$L$3:$L$498,'Unos rashoda i izdataka'!$C$3:$C$498,"=581",'Unos rashoda i izdataka'!$P$3:$P$498,"=43")+SUMIFS('Unos rashoda P4'!$J$3:$J$496,'Unos rashoda P4'!$A$3:$A$496,"=581",'Unos rashoda P4'!$S$3:$S$496,"=43")</f>
        <v>0</v>
      </c>
      <c r="S73" s="61">
        <f>SUMIFS('Unos rashoda i izdataka'!$L$3:$L$498,'Unos rashoda i izdataka'!$C$3:$C$498,"=61",'Unos rashoda i izdataka'!$P$3:$P$498,"=43")+SUMIFS('Unos rashoda P4'!$J$3:$J$496,'Unos rashoda P4'!$A$3:$A$496,"=61",'Unos rashoda P4'!$S$3:$S$496,"=43")</f>
        <v>0</v>
      </c>
      <c r="T73" s="61">
        <f>SUMIFS('Unos rashoda i izdataka'!$L$3:$L$498,'Unos rashoda i izdataka'!$C$3:$C$498,"=63",'Unos rashoda i izdataka'!$P$3:$P$498,"=43")+SUMIFS('Unos rashoda P4'!$J$3:$J$496,'Unos rashoda P4'!$A$3:$A$496,"=63",'Unos rashoda P4'!$S$3:$S$496,"=43")</f>
        <v>0</v>
      </c>
      <c r="U73" s="61">
        <f>SUMIFS('Unos rashoda i izdataka'!$L$3:$L$498,'Unos rashoda i izdataka'!$C$3:$C$498,"=71",'Unos rashoda i izdataka'!$P$3:$P$498,"=43")+SUMIFS('Unos rashoda P4'!$J$3:$J$496,'Unos rashoda P4'!$A$3:$A$496,"=71",'Unos rashoda P4'!$S$3:$S$496,"=43")</f>
        <v>0</v>
      </c>
      <c r="V73" s="61">
        <f>SUMIFS('Unos rashoda i izdataka'!$L$3:$L$498,'Unos rashoda i izdataka'!$C$3:$C$498,"=81",'Unos rashoda i izdataka'!$P$3:$P$498,"=43")+SUMIFS('Unos rashoda P4'!$J$3:$J$496,'Unos rashoda P4'!$A$3:$A$496,"=81",'Unos rashoda P4'!$S$3:$S$496,"=43")</f>
        <v>0</v>
      </c>
    </row>
    <row r="74" spans="1:22" s="8" customFormat="1" ht="12.6" customHeight="1">
      <c r="A74" s="254">
        <v>44</v>
      </c>
      <c r="B74" s="7" t="s">
        <v>3587</v>
      </c>
      <c r="C74" s="58">
        <f t="shared" si="26"/>
        <v>0</v>
      </c>
      <c r="D74" s="61">
        <f>SUMIFS('Unos rashoda i izdataka'!$L$3:$L$498,'Unos rashoda i izdataka'!$C$3:$C$498,"=11",'Unos rashoda i izdataka'!$P$3:$P$498,"=44")+SUMIFS('Unos rashoda P4'!$J$3:$J$496,'Unos rashoda P4'!$A$3:$A$496,"=11",'Unos rashoda P4'!$S$3:$S$496,"=44")</f>
        <v>0</v>
      </c>
      <c r="E74" s="61">
        <f>SUMIFS('Unos rashoda i izdataka'!$L$3:$L$498,'Unos rashoda i izdataka'!$C$3:$C$498,"=12",'Unos rashoda i izdataka'!$P$3:$P$498,"=44")+SUMIFS('Unos rashoda P4'!$J$3:$J$496,'Unos rashoda P4'!$A$3:$A$496,"=12",'Unos rashoda P4'!$S$3:$S$496,"=44")</f>
        <v>0</v>
      </c>
      <c r="F74" s="61">
        <f>SUMIFS('Unos rashoda i izdataka'!$L$3:$L$498,'Unos rashoda i izdataka'!$C$3:$C$498,"=31",'Unos rashoda i izdataka'!$P$3:$P$498,"=44")+SUMIFS('Unos rashoda P4'!$J$3:$J$496,'Unos rashoda P4'!$A$3:$A$496,"=31",'Unos rashoda P4'!$S$3:$S$496,"=44")</f>
        <v>0</v>
      </c>
      <c r="G74" s="61">
        <f>SUMIFS('Unos rashoda i izdataka'!$L$3:$L$498,'Unos rashoda i izdataka'!$C$3:$C$498,"=41",'Unos rashoda i izdataka'!$P$3:$P$498,"=44")+SUMIFS('Unos rashoda P4'!$J$3:$J$496,'Unos rashoda P4'!$A$3:$A$496,"=41",'Unos rashoda P4'!$S$3:$S$496,"=44")</f>
        <v>0</v>
      </c>
      <c r="H74" s="61">
        <f>SUMIFS('Unos rashoda i izdataka'!$L$3:$L$498,'Unos rashoda i izdataka'!$C$3:$C$498,"=43",'Unos rashoda i izdataka'!$P$3:$P$498,"=44")+SUMIFS('Unos rashoda P4'!$J$3:$J$496,'Unos rashoda P4'!$A$3:$A$496,"=43",'Unos rashoda P4'!$S$3:$S$496,"=44")</f>
        <v>0</v>
      </c>
      <c r="I74" s="61">
        <f>SUMIFS('Unos rashoda i izdataka'!$L$3:$L$498,'Unos rashoda i izdataka'!$C$3:$C$498,"=51",'Unos rashoda i izdataka'!$P$3:$P$498,"=44")+SUMIFS('Unos rashoda P4'!$J$3:$J$496,'Unos rashoda P4'!$A$3:$A$496,"=51",'Unos rashoda P4'!$S$3:$S$496,"=44")</f>
        <v>0</v>
      </c>
      <c r="J74" s="61">
        <f>SUMIFS('Unos rashoda i izdataka'!$L$3:$L$498,'Unos rashoda i izdataka'!$C$3:$C$498,"=52",'Unos rashoda i izdataka'!$P$3:$P$498,"=44")+SUMIFS('Unos rashoda P4'!$J$3:$J$496,'Unos rashoda P4'!$A$3:$A$496,"=52",'Unos rashoda P4'!$S$3:$S$496,"=44")</f>
        <v>0</v>
      </c>
      <c r="K74" s="61">
        <f>SUMIFS('Unos rashoda i izdataka'!$L$3:$L$498,'Unos rashoda i izdataka'!$C$3:$C$498,"=552",'Unos rashoda i izdataka'!$P$3:$P$498,"=44")+SUMIFS('Unos rashoda P4'!$J$3:$J$496,'Unos rashoda P4'!$A$3:$A$496,"=552",'Unos rashoda P4'!$S$3:$S$496,"=44")</f>
        <v>0</v>
      </c>
      <c r="L74" s="61">
        <f>SUMIFS('Unos rashoda i izdataka'!$L$3:$L$498,'Unos rashoda i izdataka'!$C$3:$C$498,"=559",'Unos rashoda i izdataka'!$P$3:$P$498,"=44")+SUMIFS('Unos rashoda P4'!$J$3:$J$496,'Unos rashoda P4'!$A$3:$A$496,"=559",'Unos rashoda P4'!$S$3:$S$496,"=44")</f>
        <v>0</v>
      </c>
      <c r="M74" s="61">
        <f>SUMIFS('Unos rashoda i izdataka'!$L$3:$L$498,'Unos rashoda i izdataka'!$C$3:$C$498,"=561",'Unos rashoda i izdataka'!$P$3:$P$498,"=44")+SUMIFS('Unos rashoda P4'!$J$3:$J$496,'Unos rashoda P4'!$A$3:$A$496,"=561",'Unos rashoda P4'!$S$3:$S$496,"=44")</f>
        <v>0</v>
      </c>
      <c r="N74" s="61">
        <f>SUMIFS('Unos rashoda i izdataka'!$L$3:$L$498,'Unos rashoda i izdataka'!$C$3:$C$498,"=563",'Unos rashoda i izdataka'!$P$3:$P$498,"=44")+SUMIFS('Unos rashoda P4'!$J$3:$J$496,'Unos rashoda P4'!$A$3:$A$496,"=563",'Unos rashoda P4'!$S$3:$S$496,"=44")</f>
        <v>0</v>
      </c>
      <c r="O74" s="61">
        <f>SUMIFS('Unos rashoda i izdataka'!$L$3:$L$498,'Unos rashoda i izdataka'!$C$3:$C$498,"=573",'Unos rashoda i izdataka'!$P$3:$P$498,"=44")+SUMIFS('Unos rashoda P4'!$J$3:$J$496,'Unos rashoda P4'!$A$3:$A$496,"=573",'Unos rashoda P4'!$S$3:$S$496,"=44")</f>
        <v>0</v>
      </c>
      <c r="P74" s="61">
        <f>SUMIFS('Unos rashoda i izdataka'!$L$3:$L$498,'Unos rashoda i izdataka'!$C$3:$C$498,"=575",'Unos rashoda i izdataka'!$P$3:$P$498,"=44")+SUMIFS('Unos rashoda P4'!$J$3:$J$496,'Unos rashoda P4'!$A$3:$A$496,"=575",'Unos rashoda P4'!$S$3:$S$496,"=44")</f>
        <v>0</v>
      </c>
      <c r="Q74" s="61">
        <f>SUMIFS('Unos rashoda i izdataka'!$L$3:$L$498,'Unos rashoda i izdataka'!$Q$3:$Q$498,"=576",'Unos rashoda i izdataka'!$P$3:$P$498,"=44")+SUMIFS('Unos rashoda P4'!$J$3:$J$496,'Unos rashoda P4'!$A$3:$A$496,"=576",'Unos rashoda P4'!$S$3:$S$496,"=44")</f>
        <v>0</v>
      </c>
      <c r="R74" s="61">
        <f>SUMIFS('Unos rashoda i izdataka'!$L$3:$L$498,'Unos rashoda i izdataka'!$C$3:$C$498,"=581",'Unos rashoda i izdataka'!$P$3:$P$498,"=44")+SUMIFS('Unos rashoda P4'!$J$3:$J$496,'Unos rashoda P4'!$A$3:$A$496,"=581",'Unos rashoda P4'!$S$3:$S$496,"=44")</f>
        <v>0</v>
      </c>
      <c r="S74" s="61">
        <f>SUMIFS('Unos rashoda i izdataka'!$L$3:$L$498,'Unos rashoda i izdataka'!$C$3:$C$498,"=61",'Unos rashoda i izdataka'!$P$3:$P$498,"=44")+SUMIFS('Unos rashoda P4'!$J$3:$J$496,'Unos rashoda P4'!$A$3:$A$496,"=61",'Unos rashoda P4'!$S$3:$S$496,"=44")</f>
        <v>0</v>
      </c>
      <c r="T74" s="61">
        <f>SUMIFS('Unos rashoda i izdataka'!$L$3:$L$498,'Unos rashoda i izdataka'!$C$3:$C$498,"=63",'Unos rashoda i izdataka'!$P$3:$P$498,"=44")+SUMIFS('Unos rashoda P4'!$J$3:$J$496,'Unos rashoda P4'!$A$3:$A$496,"=63",'Unos rashoda P4'!$S$3:$S$496,"=44")</f>
        <v>0</v>
      </c>
      <c r="U74" s="61">
        <f>SUMIFS('Unos rashoda i izdataka'!$L$3:$L$498,'Unos rashoda i izdataka'!$C$3:$C$498,"=71",'Unos rashoda i izdataka'!$P$3:$P$498,"=44")+SUMIFS('Unos rashoda P4'!$J$3:$J$496,'Unos rashoda P4'!$A$3:$A$496,"=71",'Unos rashoda P4'!$S$3:$S$496,"=44")</f>
        <v>0</v>
      </c>
      <c r="V74" s="61">
        <f>SUMIFS('Unos rashoda i izdataka'!$L$3:$L$498,'Unos rashoda i izdataka'!$C$3:$C$498,"=81",'Unos rashoda i izdataka'!$P$3:$P$498,"=44")+SUMIFS('Unos rashoda P4'!$J$3:$J$496,'Unos rashoda P4'!$A$3:$A$496,"=81",'Unos rashoda P4'!$S$3:$S$496,"=44")</f>
        <v>0</v>
      </c>
    </row>
    <row r="75" spans="1:22" s="12" customFormat="1" ht="12.6" customHeight="1">
      <c r="A75" s="255">
        <v>45</v>
      </c>
      <c r="B75" s="9" t="s">
        <v>3588</v>
      </c>
      <c r="C75" s="58">
        <f t="shared" si="26"/>
        <v>0</v>
      </c>
      <c r="D75" s="61">
        <f>SUMIFS('Unos rashoda i izdataka'!$L$3:$L$498,'Unos rashoda i izdataka'!$C$3:$C$498,"=11",'Unos rashoda i izdataka'!$P$3:$P$498,"=45")+SUMIFS('Unos rashoda P4'!$J$3:$J$496,'Unos rashoda P4'!$A$3:$A$496,"=11",'Unos rashoda P4'!$S$3:$S$496,"=45")</f>
        <v>0</v>
      </c>
      <c r="E75" s="61">
        <f>SUMIFS('Unos rashoda i izdataka'!$L$3:$L$498,'Unos rashoda i izdataka'!$C$3:$C$498,"=12",'Unos rashoda i izdataka'!$P$3:$P$498,"=45")+SUMIFS('Unos rashoda P4'!$J$3:$J$496,'Unos rashoda P4'!$A$3:$A$496,"=12",'Unos rashoda P4'!$S$3:$S$496,"=45")</f>
        <v>0</v>
      </c>
      <c r="F75" s="61">
        <f>SUMIFS('Unos rashoda i izdataka'!$L$3:$L$498,'Unos rashoda i izdataka'!$C$3:$C$498,"=31",'Unos rashoda i izdataka'!$P$3:$P$498,"=45")+SUMIFS('Unos rashoda P4'!$J$3:$J$496,'Unos rashoda P4'!$A$3:$A$496,"=31",'Unos rashoda P4'!$S$3:$S$496,"=45")</f>
        <v>0</v>
      </c>
      <c r="G75" s="61">
        <f>SUMIFS('Unos rashoda i izdataka'!$L$3:$L$498,'Unos rashoda i izdataka'!$C$3:$C$498,"=41",'Unos rashoda i izdataka'!$P$3:$P$498,"=45")+SUMIFS('Unos rashoda P4'!$J$3:$J$496,'Unos rashoda P4'!$A$3:$A$496,"=41",'Unos rashoda P4'!$S$3:$S$496,"=45")</f>
        <v>0</v>
      </c>
      <c r="H75" s="61">
        <f>SUMIFS('Unos rashoda i izdataka'!$L$3:$L$498,'Unos rashoda i izdataka'!$C$3:$C$498,"=43",'Unos rashoda i izdataka'!$P$3:$P$498,"=45")+SUMIFS('Unos rashoda P4'!$J$3:$J$496,'Unos rashoda P4'!$A$3:$A$496,"=43",'Unos rashoda P4'!$S$3:$S$496,"=45")</f>
        <v>0</v>
      </c>
      <c r="I75" s="61">
        <f>SUMIFS('Unos rashoda i izdataka'!$L$3:$L$498,'Unos rashoda i izdataka'!$C$3:$C$498,"=51",'Unos rashoda i izdataka'!$P$3:$P$498,"=45")+SUMIFS('Unos rashoda P4'!$J$3:$J$496,'Unos rashoda P4'!$A$3:$A$496,"=51",'Unos rashoda P4'!$S$3:$S$496,"=45")</f>
        <v>0</v>
      </c>
      <c r="J75" s="61">
        <f>SUMIFS('Unos rashoda i izdataka'!$L$3:$L$498,'Unos rashoda i izdataka'!$C$3:$C$498,"=52",'Unos rashoda i izdataka'!$P$3:$P$498,"=45")+SUMIFS('Unos rashoda P4'!$J$3:$J$496,'Unos rashoda P4'!$A$3:$A$496,"=52",'Unos rashoda P4'!$S$3:$S$496,"=45")</f>
        <v>0</v>
      </c>
      <c r="K75" s="61">
        <f>SUMIFS('Unos rashoda i izdataka'!$L$3:$L$498,'Unos rashoda i izdataka'!$C$3:$C$498,"=552",'Unos rashoda i izdataka'!$P$3:$P$498,"=45")+SUMIFS('Unos rashoda P4'!$J$3:$J$496,'Unos rashoda P4'!$A$3:$A$496,"=552",'Unos rashoda P4'!$S$3:$S$496,"=45")</f>
        <v>0</v>
      </c>
      <c r="L75" s="61">
        <f>SUMIFS('Unos rashoda i izdataka'!$L$3:$L$498,'Unos rashoda i izdataka'!$C$3:$C$498,"=559",'Unos rashoda i izdataka'!$P$3:$P$498,"=45")+SUMIFS('Unos rashoda P4'!$J$3:$J$496,'Unos rashoda P4'!$A$3:$A$496,"=559",'Unos rashoda P4'!$S$3:$S$496,"=45")</f>
        <v>0</v>
      </c>
      <c r="M75" s="61">
        <f>SUMIFS('Unos rashoda i izdataka'!$L$3:$L$498,'Unos rashoda i izdataka'!$C$3:$C$498,"=561",'Unos rashoda i izdataka'!$P$3:$P$498,"=45")+SUMIFS('Unos rashoda P4'!$J$3:$J$496,'Unos rashoda P4'!$A$3:$A$496,"=561",'Unos rashoda P4'!$S$3:$S$496,"=45")</f>
        <v>0</v>
      </c>
      <c r="N75" s="61">
        <f>SUMIFS('Unos rashoda i izdataka'!$L$3:$L$498,'Unos rashoda i izdataka'!$C$3:$C$498,"=563",'Unos rashoda i izdataka'!$P$3:$P$498,"=45")+SUMIFS('Unos rashoda P4'!$J$3:$J$496,'Unos rashoda P4'!$A$3:$A$496,"=563",'Unos rashoda P4'!$S$3:$S$496,"=45")</f>
        <v>0</v>
      </c>
      <c r="O75" s="61">
        <f>SUMIFS('Unos rashoda i izdataka'!$L$3:$L$498,'Unos rashoda i izdataka'!$C$3:$C$498,"=573",'Unos rashoda i izdataka'!$P$3:$P$498,"=45")+SUMIFS('Unos rashoda P4'!$J$3:$J$496,'Unos rashoda P4'!$A$3:$A$496,"=573",'Unos rashoda P4'!$S$3:$S$496,"=45")</f>
        <v>0</v>
      </c>
      <c r="P75" s="61">
        <f>SUMIFS('Unos rashoda i izdataka'!$L$3:$L$498,'Unos rashoda i izdataka'!$C$3:$C$498,"=575",'Unos rashoda i izdataka'!$P$3:$P$498,"=45")+SUMIFS('Unos rashoda P4'!$J$3:$J$496,'Unos rashoda P4'!$A$3:$A$496,"=575",'Unos rashoda P4'!$S$3:$S$496,"=45")</f>
        <v>0</v>
      </c>
      <c r="Q75" s="61">
        <f>SUMIFS('Unos rashoda i izdataka'!$L$3:$L$498,'Unos rashoda i izdataka'!$Q$3:$Q$498,"=576",'Unos rashoda i izdataka'!$P$3:$P$498,"=45")+SUMIFS('Unos rashoda P4'!$J$3:$J$496,'Unos rashoda P4'!$A$3:$A$496,"=576",'Unos rashoda P4'!$S$3:$S$496,"=45")</f>
        <v>0</v>
      </c>
      <c r="R75" s="61">
        <f>SUMIFS('Unos rashoda i izdataka'!$L$3:$L$498,'Unos rashoda i izdataka'!$C$3:$C$498,"=581",'Unos rashoda i izdataka'!$P$3:$P$498,"=45")+SUMIFS('Unos rashoda P4'!$J$3:$J$496,'Unos rashoda P4'!$A$3:$A$496,"=581",'Unos rashoda P4'!$S$3:$S$496,"=45")</f>
        <v>0</v>
      </c>
      <c r="S75" s="61">
        <f>SUMIFS('Unos rashoda i izdataka'!$L$3:$L$498,'Unos rashoda i izdataka'!$C$3:$C$498,"=61",'Unos rashoda i izdataka'!$P$3:$P$498,"=45")+SUMIFS('Unos rashoda P4'!$J$3:$J$496,'Unos rashoda P4'!$A$3:$A$496,"=61",'Unos rashoda P4'!$S$3:$S$496,"=45")</f>
        <v>0</v>
      </c>
      <c r="T75" s="61">
        <f>SUMIFS('Unos rashoda i izdataka'!$L$3:$L$498,'Unos rashoda i izdataka'!$C$3:$C$498,"=63",'Unos rashoda i izdataka'!$P$3:$P$498,"=45")+SUMIFS('Unos rashoda P4'!$J$3:$J$496,'Unos rashoda P4'!$A$3:$A$496,"=63",'Unos rashoda P4'!$S$3:$S$496,"=45")</f>
        <v>0</v>
      </c>
      <c r="U75" s="61">
        <f>SUMIFS('Unos rashoda i izdataka'!$L$3:$L$498,'Unos rashoda i izdataka'!$C$3:$C$498,"=71",'Unos rashoda i izdataka'!$P$3:$P$498,"=45")+SUMIFS('Unos rashoda P4'!$J$3:$J$496,'Unos rashoda P4'!$A$3:$A$496,"=71",'Unos rashoda P4'!$S$3:$S$496,"=45")</f>
        <v>0</v>
      </c>
      <c r="V75" s="61">
        <f>SUMIFS('Unos rashoda i izdataka'!$L$3:$L$498,'Unos rashoda i izdataka'!$C$3:$C$498,"=81",'Unos rashoda i izdataka'!$P$3:$P$498,"=45")+SUMIFS('Unos rashoda P4'!$J$3:$J$496,'Unos rashoda P4'!$A$3:$A$496,"=81",'Unos rashoda P4'!$S$3:$S$496,"=45")</f>
        <v>0</v>
      </c>
    </row>
  </sheetData>
  <sheetProtection selectLockedCells="1" autoFilter="0"/>
  <mergeCells count="1">
    <mergeCell ref="A1:V1"/>
  </mergeCells>
  <phoneticPr fontId="33" type="noConversion"/>
  <printOptions horizontalCentered="1"/>
  <pageMargins left="0.43307086614173229" right="0.43307086614173229" top="0.35433070866141736" bottom="0.74803149606299213" header="0.31496062992125984" footer="0.31496062992125984"/>
  <pageSetup paperSize="9" scale="43" firstPageNumber="3" fitToHeight="0" orientation="landscape" useFirstPageNumber="1" r:id="rId1"/>
  <headerFooter alignWithMargins="0">
    <oddFooter>Page &amp;P of &amp;N</oddFooter>
  </headerFooter>
  <rowBreaks count="2" manualBreakCount="2">
    <brk id="38" max="16383" man="1"/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1"/>
  <sheetViews>
    <sheetView workbookViewId="0">
      <selection activeCell="J14" sqref="J14"/>
    </sheetView>
  </sheetViews>
  <sheetFormatPr defaultRowHeight="15"/>
  <cols>
    <col min="1" max="1" width="9.140625" style="159" customWidth="1"/>
    <col min="2" max="2" width="34" customWidth="1"/>
    <col min="3" max="5" width="14.140625" customWidth="1"/>
  </cols>
  <sheetData>
    <row r="1" spans="1:5" s="25" customFormat="1" ht="24" customHeight="1">
      <c r="A1" s="271" t="s">
        <v>3591</v>
      </c>
      <c r="B1" s="271"/>
      <c r="C1" s="271"/>
      <c r="D1" s="271"/>
      <c r="E1" s="271"/>
    </row>
    <row r="3" spans="1:5">
      <c r="E3" s="159" t="s">
        <v>58</v>
      </c>
    </row>
    <row r="4" spans="1:5" ht="38.25">
      <c r="A4" s="227" t="s">
        <v>3592</v>
      </c>
      <c r="B4" s="2" t="s">
        <v>3593</v>
      </c>
      <c r="C4" s="253" t="s">
        <v>62</v>
      </c>
      <c r="D4" s="253" t="s">
        <v>63</v>
      </c>
      <c r="E4" s="253" t="s">
        <v>64</v>
      </c>
    </row>
    <row r="5" spans="1:5" ht="28.5" customHeight="1">
      <c r="A5" s="46"/>
      <c r="B5" s="46" t="s">
        <v>3594</v>
      </c>
      <c r="C5" s="249">
        <f>+C6+C9+C11+C14+C25+C28+C30</f>
        <v>2743703</v>
      </c>
      <c r="D5" s="249">
        <f t="shared" ref="D5:E5" si="0">+D6+D9+D11+D14+D25+D28+D30</f>
        <v>8252204</v>
      </c>
      <c r="E5" s="249">
        <f t="shared" si="0"/>
        <v>3176187</v>
      </c>
    </row>
    <row r="6" spans="1:5">
      <c r="A6" s="228">
        <v>1</v>
      </c>
      <c r="B6" s="45" t="s">
        <v>3595</v>
      </c>
      <c r="C6" s="248">
        <f>+C7+C8</f>
        <v>1738448</v>
      </c>
      <c r="D6" s="248">
        <f t="shared" ref="D6:E6" si="1">+D7+D8</f>
        <v>4269463</v>
      </c>
      <c r="E6" s="248">
        <f t="shared" si="1"/>
        <v>1966542</v>
      </c>
    </row>
    <row r="7" spans="1:5">
      <c r="A7" s="225">
        <v>11</v>
      </c>
      <c r="B7" s="35" t="s">
        <v>3596</v>
      </c>
      <c r="C7" s="247">
        <f>+'A.2 RASHODI'!D4</f>
        <v>1733534</v>
      </c>
      <c r="D7" s="247">
        <f>+'A.2 RASHODI'!D40</f>
        <v>4269463</v>
      </c>
      <c r="E7" s="247">
        <f>+'A.2 RASHODI'!D57</f>
        <v>1966542</v>
      </c>
    </row>
    <row r="8" spans="1:5">
      <c r="A8" s="225">
        <v>12</v>
      </c>
      <c r="B8" s="35" t="s">
        <v>499</v>
      </c>
      <c r="C8" s="247">
        <f>+'A.2 RASHODI'!E4</f>
        <v>4914</v>
      </c>
      <c r="D8" s="247">
        <f>+'A.2 RASHODI'!E40</f>
        <v>0</v>
      </c>
      <c r="E8" s="247">
        <f>+'A.2 RASHODI'!E57</f>
        <v>0</v>
      </c>
    </row>
    <row r="9" spans="1:5">
      <c r="A9" s="228">
        <v>3</v>
      </c>
      <c r="B9" s="45" t="s">
        <v>3597</v>
      </c>
      <c r="C9" s="248">
        <f>+C10</f>
        <v>45378</v>
      </c>
      <c r="D9" s="248">
        <f t="shared" ref="D9:E9" si="2">+D10</f>
        <v>241559</v>
      </c>
      <c r="E9" s="248">
        <f t="shared" si="2"/>
        <v>41260</v>
      </c>
    </row>
    <row r="10" spans="1:5">
      <c r="A10" s="225">
        <v>31</v>
      </c>
      <c r="B10" s="35" t="s">
        <v>3598</v>
      </c>
      <c r="C10" s="247">
        <f>+'A.2 RASHODI'!F4</f>
        <v>45378</v>
      </c>
      <c r="D10" s="247">
        <f>+'A.2 RASHODI'!F40</f>
        <v>241559</v>
      </c>
      <c r="E10" s="247">
        <f>+'A.2 RASHODI'!F57</f>
        <v>41260</v>
      </c>
    </row>
    <row r="11" spans="1:5">
      <c r="A11" s="228">
        <v>4</v>
      </c>
      <c r="B11" s="45" t="s">
        <v>3599</v>
      </c>
      <c r="C11" s="248">
        <f>+C12+C13</f>
        <v>871311</v>
      </c>
      <c r="D11" s="248">
        <f t="shared" ref="D11:E11" si="3">+D12+D13</f>
        <v>1744499</v>
      </c>
      <c r="E11" s="248">
        <f t="shared" si="3"/>
        <v>1041991</v>
      </c>
    </row>
    <row r="12" spans="1:5">
      <c r="A12" s="225">
        <v>41</v>
      </c>
      <c r="B12" s="35" t="s">
        <v>502</v>
      </c>
      <c r="C12" s="247">
        <f>+'A.2 RASHODI'!G4</f>
        <v>0</v>
      </c>
      <c r="D12" s="247">
        <f>+'A.2 RASHODI'!G40</f>
        <v>0</v>
      </c>
      <c r="E12" s="247">
        <f>+'A.2 RASHODI'!G57</f>
        <v>0</v>
      </c>
    </row>
    <row r="13" spans="1:5">
      <c r="A13" s="225">
        <v>43</v>
      </c>
      <c r="B13" s="35" t="s">
        <v>3600</v>
      </c>
      <c r="C13" s="247">
        <f>+'A.2 RASHODI'!H4</f>
        <v>871311</v>
      </c>
      <c r="D13" s="247">
        <f>+'A.2 RASHODI'!H40</f>
        <v>1744499</v>
      </c>
      <c r="E13" s="247">
        <f>+'A.2 RASHODI'!H57</f>
        <v>1041991</v>
      </c>
    </row>
    <row r="14" spans="1:5">
      <c r="A14" s="228">
        <v>5</v>
      </c>
      <c r="B14" s="45" t="s">
        <v>3601</v>
      </c>
      <c r="C14" s="248">
        <f>SUM(C15:C24)</f>
        <v>86875</v>
      </c>
      <c r="D14" s="248">
        <f t="shared" ref="D14:E14" si="4">SUM(D15:D24)</f>
        <v>1935356</v>
      </c>
      <c r="E14" s="248">
        <f t="shared" si="4"/>
        <v>65320</v>
      </c>
    </row>
    <row r="15" spans="1:5">
      <c r="A15" s="225">
        <v>51</v>
      </c>
      <c r="B15" s="35" t="s">
        <v>3602</v>
      </c>
      <c r="C15" s="247">
        <f>+'A.2 RASHODI'!I4</f>
        <v>45373</v>
      </c>
      <c r="D15" s="247">
        <f>+'A.2 RASHODI'!I40</f>
        <v>100216</v>
      </c>
      <c r="E15" s="247">
        <f>+'A.2 RASHODI'!I57</f>
        <v>23862</v>
      </c>
    </row>
    <row r="16" spans="1:5">
      <c r="A16" s="225">
        <v>52</v>
      </c>
      <c r="B16" s="35" t="s">
        <v>3603</v>
      </c>
      <c r="C16" s="247">
        <f>+'A.2 RASHODI'!J4</f>
        <v>31289</v>
      </c>
      <c r="D16" s="247">
        <f>+'A.2 RASHODI'!J40</f>
        <v>1835140</v>
      </c>
      <c r="E16" s="247">
        <f>+'A.2 RASHODI'!J57</f>
        <v>39818</v>
      </c>
    </row>
    <row r="17" spans="1:5">
      <c r="A17" s="225">
        <v>552</v>
      </c>
      <c r="B17" s="35" t="s">
        <v>3604</v>
      </c>
      <c r="C17" s="247">
        <f>+'A.2 RASHODI'!K4</f>
        <v>0</v>
      </c>
      <c r="D17" s="247">
        <f>+'A.2 RASHODI'!K40</f>
        <v>0</v>
      </c>
      <c r="E17" s="247">
        <f>+'A.2 RASHODI'!K57</f>
        <v>0</v>
      </c>
    </row>
    <row r="18" spans="1:5">
      <c r="A18" s="225">
        <v>559</v>
      </c>
      <c r="B18" s="35" t="s">
        <v>3605</v>
      </c>
      <c r="C18" s="247">
        <f>+'A.2 RASHODI'!L4</f>
        <v>0</v>
      </c>
      <c r="D18" s="247">
        <f>+'A.2 RASHODI'!L40</f>
        <v>0</v>
      </c>
      <c r="E18" s="247">
        <f>+'A.2 RASHODI'!L57</f>
        <v>0</v>
      </c>
    </row>
    <row r="19" spans="1:5">
      <c r="A19" s="225">
        <v>561</v>
      </c>
      <c r="B19" s="35" t="s">
        <v>515</v>
      </c>
      <c r="C19" s="247">
        <f>+'A.2 RASHODI'!M4</f>
        <v>10213</v>
      </c>
      <c r="D19" s="247">
        <f>+'A.2 RASHODI'!M40</f>
        <v>0</v>
      </c>
      <c r="E19" s="247">
        <f>+'A.2 RASHODI'!M57</f>
        <v>1640</v>
      </c>
    </row>
    <row r="20" spans="1:5">
      <c r="A20" s="225">
        <v>563</v>
      </c>
      <c r="B20" s="35" t="s">
        <v>526</v>
      </c>
      <c r="C20" s="247">
        <f>+'A.2 RASHODI'!N4</f>
        <v>0</v>
      </c>
      <c r="D20" s="247">
        <f>+'A.2 RASHODI'!N40</f>
        <v>0</v>
      </c>
      <c r="E20" s="247">
        <f>+'A.2 RASHODI'!N57</f>
        <v>0</v>
      </c>
    </row>
    <row r="21" spans="1:5" ht="25.5">
      <c r="A21" s="225">
        <v>573</v>
      </c>
      <c r="B21" s="35" t="s">
        <v>519</v>
      </c>
      <c r="C21" s="247">
        <f>+'A.2 RASHODI'!O4</f>
        <v>0</v>
      </c>
      <c r="D21" s="247">
        <f>+'A.2 RASHODI'!O40</f>
        <v>0</v>
      </c>
      <c r="E21" s="247">
        <f>+'A.2 RASHODI'!O57</f>
        <v>0</v>
      </c>
    </row>
    <row r="22" spans="1:5">
      <c r="A22" s="225">
        <v>575</v>
      </c>
      <c r="B22" s="35" t="s">
        <v>521</v>
      </c>
      <c r="C22" s="247">
        <f>+'A.2 RASHODI'!P4</f>
        <v>0</v>
      </c>
      <c r="D22" s="247">
        <f>+'A.2 RASHODI'!P40</f>
        <v>0</v>
      </c>
      <c r="E22" s="247">
        <f>+'A.2 RASHODI'!P57</f>
        <v>0</v>
      </c>
    </row>
    <row r="23" spans="1:5">
      <c r="A23" s="225">
        <v>576</v>
      </c>
      <c r="B23" s="35" t="s">
        <v>1428</v>
      </c>
      <c r="C23" s="247">
        <f>+'A.2 RASHODI'!Q4</f>
        <v>0</v>
      </c>
      <c r="D23" s="247">
        <f>+'A.2 RASHODI'!Q40</f>
        <v>0</v>
      </c>
      <c r="E23" s="247">
        <f>+'A.2 RASHODI'!Q57</f>
        <v>0</v>
      </c>
    </row>
    <row r="24" spans="1:5">
      <c r="A24" s="225">
        <v>581</v>
      </c>
      <c r="B24" s="35" t="s">
        <v>525</v>
      </c>
      <c r="C24" s="247">
        <f>+'A.2 RASHODI'!R4</f>
        <v>0</v>
      </c>
      <c r="D24" s="247">
        <f>+'A.2 RASHODI'!R40</f>
        <v>0</v>
      </c>
      <c r="E24" s="247">
        <f>+'A.2 RASHODI'!R57</f>
        <v>0</v>
      </c>
    </row>
    <row r="25" spans="1:5">
      <c r="A25" s="228">
        <v>6</v>
      </c>
      <c r="B25" s="45" t="s">
        <v>3606</v>
      </c>
      <c r="C25" s="248">
        <f>+C26+C27</f>
        <v>1593</v>
      </c>
      <c r="D25" s="248">
        <f t="shared" ref="D25:E25" si="5">+D26+D27</f>
        <v>60000</v>
      </c>
      <c r="E25" s="248">
        <f t="shared" si="5"/>
        <v>61074</v>
      </c>
    </row>
    <row r="26" spans="1:5">
      <c r="A26" s="225">
        <v>61</v>
      </c>
      <c r="B26" s="35" t="s">
        <v>579</v>
      </c>
      <c r="C26" s="247">
        <f>+'A.2 RASHODI'!S4</f>
        <v>1593</v>
      </c>
      <c r="D26" s="247">
        <f>+'A.2 RASHODI'!S40</f>
        <v>60000</v>
      </c>
      <c r="E26" s="247">
        <f>+'A.2 RASHODI'!S57</f>
        <v>61074</v>
      </c>
    </row>
    <row r="27" spans="1:5">
      <c r="A27" s="225">
        <v>63</v>
      </c>
      <c r="B27" s="35" t="s">
        <v>3607</v>
      </c>
      <c r="C27" s="247">
        <f>+'A.2 RASHODI'!T4</f>
        <v>0</v>
      </c>
      <c r="D27" s="247">
        <f>+'A.2 RASHODI'!T40</f>
        <v>0</v>
      </c>
      <c r="E27" s="247">
        <f>+'A.2 RASHODI'!T57</f>
        <v>0</v>
      </c>
    </row>
    <row r="28" spans="1:5" ht="38.25">
      <c r="A28" s="228">
        <v>7</v>
      </c>
      <c r="B28" s="45" t="s">
        <v>3608</v>
      </c>
      <c r="C28" s="248">
        <f>+C29</f>
        <v>98</v>
      </c>
      <c r="D28" s="248">
        <f t="shared" ref="D28:E28" si="6">+D29</f>
        <v>1327</v>
      </c>
      <c r="E28" s="248">
        <f t="shared" si="6"/>
        <v>0</v>
      </c>
    </row>
    <row r="29" spans="1:5" ht="25.5">
      <c r="A29" s="225">
        <v>71</v>
      </c>
      <c r="B29" s="35" t="s">
        <v>3609</v>
      </c>
      <c r="C29" s="247">
        <f>+'A.2 RASHODI'!U4</f>
        <v>98</v>
      </c>
      <c r="D29" s="247">
        <f>+'A.2 RASHODI'!U40</f>
        <v>1327</v>
      </c>
      <c r="E29" s="247">
        <f>+'A.2 RASHODI'!V57</f>
        <v>0</v>
      </c>
    </row>
    <row r="30" spans="1:5">
      <c r="A30" s="228">
        <v>8</v>
      </c>
      <c r="B30" s="45" t="s">
        <v>3610</v>
      </c>
      <c r="C30" s="248">
        <f>+C31</f>
        <v>0</v>
      </c>
      <c r="D30" s="248">
        <f t="shared" ref="D30:E30" si="7">+D31</f>
        <v>0</v>
      </c>
      <c r="E30" s="248">
        <f t="shared" si="7"/>
        <v>0</v>
      </c>
    </row>
    <row r="31" spans="1:5">
      <c r="A31" s="225">
        <v>81</v>
      </c>
      <c r="B31" s="35" t="s">
        <v>534</v>
      </c>
      <c r="C31" s="247">
        <f>+'A.2 RASHODI'!V4</f>
        <v>0</v>
      </c>
      <c r="D31" s="247">
        <f>+'A.2 RASHODI'!V40</f>
        <v>0</v>
      </c>
      <c r="E31" s="247">
        <f>+'A.2 RASHODI'!V57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K84"/>
  <sheetViews>
    <sheetView workbookViewId="0">
      <pane xSplit="1" ySplit="4" topLeftCell="B48" activePane="bottomRight" state="frozen"/>
      <selection pane="bottomRight" activeCell="H11" sqref="H11"/>
      <selection pane="bottomLeft" activeCell="A4" sqref="A4"/>
      <selection pane="topRight" activeCell="B1" sqref="B1"/>
    </sheetView>
  </sheetViews>
  <sheetFormatPr defaultRowHeight="15"/>
  <cols>
    <col min="1" max="1" width="9.28515625" style="243" bestFit="1" customWidth="1"/>
    <col min="2" max="2" width="41.85546875" style="224" customWidth="1"/>
    <col min="3" max="5" width="15.85546875" customWidth="1"/>
  </cols>
  <sheetData>
    <row r="1" spans="1:193" s="25" customFormat="1" ht="24" customHeight="1">
      <c r="A1" s="271" t="s">
        <v>3611</v>
      </c>
      <c r="B1" s="271"/>
      <c r="C1" s="271"/>
      <c r="D1" s="271"/>
      <c r="E1" s="271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</row>
    <row r="2" spans="1:193" s="25" customFormat="1" ht="24" customHeight="1">
      <c r="A2" s="219"/>
      <c r="B2" s="219"/>
      <c r="C2" s="219"/>
      <c r="D2" s="219"/>
      <c r="E2" s="219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</row>
    <row r="3" spans="1:193">
      <c r="E3" s="159" t="s">
        <v>58</v>
      </c>
    </row>
    <row r="4" spans="1:193" ht="30">
      <c r="A4" s="2" t="s">
        <v>3592</v>
      </c>
      <c r="B4" s="2" t="s">
        <v>3612</v>
      </c>
      <c r="C4" s="253" t="s">
        <v>62</v>
      </c>
      <c r="D4" s="253" t="s">
        <v>63</v>
      </c>
      <c r="E4" s="253" t="s">
        <v>64</v>
      </c>
    </row>
    <row r="5" spans="1:193" ht="28.5" customHeight="1">
      <c r="A5" s="241"/>
      <c r="B5" s="46" t="s">
        <v>3594</v>
      </c>
      <c r="C5" s="48">
        <f>+C6+C15+C21+C28+C38+C45+C52+C59+C66+C75</f>
        <v>2742759</v>
      </c>
      <c r="D5" s="48">
        <f t="shared" ref="D5:E5" si="0">+D6+D15+D21+D28+D38+D45+D52+D59+D66+D75</f>
        <v>8252204</v>
      </c>
      <c r="E5" s="48">
        <f t="shared" si="0"/>
        <v>3176187</v>
      </c>
    </row>
    <row r="6" spans="1:193">
      <c r="A6" s="226">
        <v>1</v>
      </c>
      <c r="B6" s="45" t="s">
        <v>3613</v>
      </c>
      <c r="C6" s="248">
        <f>SUM(C7:C14)</f>
        <v>0</v>
      </c>
      <c r="D6" s="248">
        <f>SUM(D7:D14)</f>
        <v>0</v>
      </c>
      <c r="E6" s="248">
        <f>SUM(E7:E14)</f>
        <v>0</v>
      </c>
    </row>
    <row r="7" spans="1:193" ht="25.5">
      <c r="A7" s="242">
        <v>11</v>
      </c>
      <c r="B7" s="35" t="s">
        <v>3614</v>
      </c>
      <c r="C7" s="247">
        <f>SUMIF('Unos rashoda i izdataka'!$R$3:$R$498,'A.4 RASHODI FUNK'!$A7,'Unos rashoda i izdataka'!$J$3:$J$498)+SUMIF('Unos rashoda P4'!$T$3:$T$496,'A.4 RASHODI FUNK'!$A7,'Unos rashoda P4'!$H$3:$H$496)</f>
        <v>0</v>
      </c>
      <c r="D7" s="247">
        <f>SUMIF('Unos rashoda i izdataka'!$R$3:$R$498,'A.4 RASHODI FUNK'!$A7,'Unos rashoda i izdataka'!$K$3:$K$498)+SUMIF('Unos rashoda P4'!$T$3:$T$496,'A.4 RASHODI FUNK'!$A7,'Unos rashoda P4'!$I$3:$I$496)</f>
        <v>0</v>
      </c>
      <c r="E7" s="247">
        <f>SUMIF('Unos rashoda i izdataka'!$R$3:$R$498,'A.4 RASHODI FUNK'!$A7,'Unos rashoda i izdataka'!$L$3:$L$498)+SUMIF('Unos rashoda P4'!$T$3:$T$496,'A.4 RASHODI FUNK'!$A7,'Unos rashoda P4'!$J$3:$J$496)</f>
        <v>0</v>
      </c>
    </row>
    <row r="8" spans="1:193">
      <c r="A8" s="242">
        <v>12</v>
      </c>
      <c r="B8" s="35" t="s">
        <v>3615</v>
      </c>
      <c r="C8" s="247">
        <f>SUMIF('Unos rashoda i izdataka'!$R$3:$R$498,'A.4 RASHODI FUNK'!$A8,'Unos rashoda i izdataka'!$J$3:$J$498)+SUMIF('Unos rashoda P4'!$T$3:$T$496,'A.4 RASHODI FUNK'!$A8,'Unos rashoda P4'!$H$3:$H$496)</f>
        <v>0</v>
      </c>
      <c r="D8" s="247">
        <f>SUMIF('Unos rashoda i izdataka'!$R$3:$R$498,'A.4 RASHODI FUNK'!$A8,'Unos rashoda i izdataka'!$K$3:$K$498)+SUMIF('Unos rashoda P4'!$T$3:$T$496,'A.4 RASHODI FUNK'!$A8,'Unos rashoda P4'!$I$3:$I$496)</f>
        <v>0</v>
      </c>
      <c r="E8" s="247">
        <f>SUMIF('Unos rashoda i izdataka'!$R$3:$R$498,'A.4 RASHODI FUNK'!$A8,'Unos rashoda i izdataka'!$L$3:$L$498)+SUMIF('Unos rashoda P4'!$T$3:$T$496,'A.4 RASHODI FUNK'!$A8,'Unos rashoda P4'!$J$3:$J$496)</f>
        <v>0</v>
      </c>
    </row>
    <row r="9" spans="1:193">
      <c r="A9" s="242">
        <v>13</v>
      </c>
      <c r="B9" s="35" t="s">
        <v>3616</v>
      </c>
      <c r="C9" s="247">
        <f>SUMIF('Unos rashoda i izdataka'!$R$3:$R$498,'A.4 RASHODI FUNK'!$A9,'Unos rashoda i izdataka'!$J$3:$J$498)+SUMIF('Unos rashoda P4'!$T$3:$T$496,'A.4 RASHODI FUNK'!$A9,'Unos rashoda P4'!$H$3:$H$496)</f>
        <v>0</v>
      </c>
      <c r="D9" s="247">
        <f>SUMIF('Unos rashoda i izdataka'!$R$3:$R$498,'A.4 RASHODI FUNK'!$A9,'Unos rashoda i izdataka'!$K$3:$K$498)+SUMIF('Unos rashoda P4'!$T$3:$T$496,'A.4 RASHODI FUNK'!$A9,'Unos rashoda P4'!$I$3:$I$496)</f>
        <v>0</v>
      </c>
      <c r="E9" s="247">
        <f>SUMIF('Unos rashoda i izdataka'!$R$3:$R$498,'A.4 RASHODI FUNK'!$A9,'Unos rashoda i izdataka'!$L$3:$L$498)+SUMIF('Unos rashoda P4'!$T$3:$T$496,'A.4 RASHODI FUNK'!$A9,'Unos rashoda P4'!$J$3:$J$496)</f>
        <v>0</v>
      </c>
    </row>
    <row r="10" spans="1:193">
      <c r="A10" s="242">
        <v>14</v>
      </c>
      <c r="B10" s="35" t="s">
        <v>3617</v>
      </c>
      <c r="C10" s="247">
        <f>SUMIF('Unos rashoda i izdataka'!$R$3:$R$498,'A.4 RASHODI FUNK'!$A10,'Unos rashoda i izdataka'!$J$3:$J$498)+SUMIF('Unos rashoda P4'!$T$3:$T$496,'A.4 RASHODI FUNK'!$A10,'Unos rashoda P4'!$H$3:$H$496)</f>
        <v>0</v>
      </c>
      <c r="D10" s="247">
        <f>SUMIF('Unos rashoda i izdataka'!$R$3:$R$498,'A.4 RASHODI FUNK'!$A10,'Unos rashoda i izdataka'!$K$3:$K$498)+SUMIF('Unos rashoda P4'!$T$3:$T$496,'A.4 RASHODI FUNK'!$A10,'Unos rashoda P4'!$I$3:$I$496)</f>
        <v>0</v>
      </c>
      <c r="E10" s="247">
        <f>SUMIF('Unos rashoda i izdataka'!$R$3:$R$498,'A.4 RASHODI FUNK'!$A10,'Unos rashoda i izdataka'!$L$3:$L$498)+SUMIF('Unos rashoda P4'!$T$3:$T$496,'A.4 RASHODI FUNK'!$A10,'Unos rashoda P4'!$J$3:$J$496)</f>
        <v>0</v>
      </c>
    </row>
    <row r="11" spans="1:193">
      <c r="A11" s="242">
        <v>15</v>
      </c>
      <c r="B11" s="35" t="s">
        <v>650</v>
      </c>
      <c r="C11" s="247">
        <f>SUMIF('Unos rashoda i izdataka'!$R$3:$R$498,'A.4 RASHODI FUNK'!$A11,'Unos rashoda i izdataka'!$J$3:$J$498)+SUMIF('Unos rashoda P4'!$T$3:$T$496,'A.4 RASHODI FUNK'!$A11,'Unos rashoda P4'!$H$3:$H$496)</f>
        <v>0</v>
      </c>
      <c r="D11" s="247">
        <f>SUMIF('Unos rashoda i izdataka'!$R$3:$R$498,'A.4 RASHODI FUNK'!$A11,'Unos rashoda i izdataka'!$K$3:$K$498)+SUMIF('Unos rashoda P4'!$T$3:$T$496,'A.4 RASHODI FUNK'!$A11,'Unos rashoda P4'!$I$3:$I$496)</f>
        <v>0</v>
      </c>
      <c r="E11" s="247">
        <f>SUMIF('Unos rashoda i izdataka'!$R$3:$R$498,'A.4 RASHODI FUNK'!$A11,'Unos rashoda i izdataka'!$L$3:$L$498)+SUMIF('Unos rashoda P4'!$T$3:$T$496,'A.4 RASHODI FUNK'!$A11,'Unos rashoda P4'!$J$3:$J$496)</f>
        <v>0</v>
      </c>
    </row>
    <row r="12" spans="1:193">
      <c r="A12" s="242">
        <v>16</v>
      </c>
      <c r="B12" s="35" t="s">
        <v>3618</v>
      </c>
      <c r="C12" s="247">
        <f>SUMIF('Unos rashoda i izdataka'!$R$3:$R$498,'A.4 RASHODI FUNK'!$A12,'Unos rashoda i izdataka'!$J$3:$J$498)+SUMIF('Unos rashoda P4'!$T$3:$T$496,'A.4 RASHODI FUNK'!$A12,'Unos rashoda P4'!$H$3:$H$496)</f>
        <v>0</v>
      </c>
      <c r="D12" s="247">
        <f>SUMIF('Unos rashoda i izdataka'!$R$3:$R$498,'A.4 RASHODI FUNK'!$A12,'Unos rashoda i izdataka'!$K$3:$K$498)+SUMIF('Unos rashoda P4'!$T$3:$T$496,'A.4 RASHODI FUNK'!$A12,'Unos rashoda P4'!$I$3:$I$496)</f>
        <v>0</v>
      </c>
      <c r="E12" s="247">
        <f>SUMIF('Unos rashoda i izdataka'!$R$3:$R$498,'A.4 RASHODI FUNK'!$A12,'Unos rashoda i izdataka'!$L$3:$L$498)+SUMIF('Unos rashoda P4'!$T$3:$T$496,'A.4 RASHODI FUNK'!$A12,'Unos rashoda P4'!$J$3:$J$496)</f>
        <v>0</v>
      </c>
    </row>
    <row r="13" spans="1:193">
      <c r="A13" s="242">
        <v>17</v>
      </c>
      <c r="B13" s="35" t="s">
        <v>3619</v>
      </c>
      <c r="C13" s="247">
        <f>SUMIF('Unos rashoda i izdataka'!$R$3:$R$498,'A.4 RASHODI FUNK'!$A13,'Unos rashoda i izdataka'!$J$3:$J$498)+SUMIF('Unos rashoda P4'!$T$3:$T$496,'A.4 RASHODI FUNK'!$A13,'Unos rashoda P4'!$H$3:$H$496)</f>
        <v>0</v>
      </c>
      <c r="D13" s="247">
        <f>SUMIF('Unos rashoda i izdataka'!$R$3:$R$498,'A.4 RASHODI FUNK'!$A13,'Unos rashoda i izdataka'!$K$3:$K$498)+SUMIF('Unos rashoda P4'!$T$3:$T$496,'A.4 RASHODI FUNK'!$A13,'Unos rashoda P4'!$I$3:$I$496)</f>
        <v>0</v>
      </c>
      <c r="E13" s="247">
        <f>SUMIF('Unos rashoda i izdataka'!$R$3:$R$498,'A.4 RASHODI FUNK'!$A13,'Unos rashoda i izdataka'!$L$3:$L$498)+SUMIF('Unos rashoda P4'!$T$3:$T$496,'A.4 RASHODI FUNK'!$A13,'Unos rashoda P4'!$J$3:$J$496)</f>
        <v>0</v>
      </c>
    </row>
    <row r="14" spans="1:193" ht="25.5">
      <c r="A14" s="242">
        <v>18</v>
      </c>
      <c r="B14" s="35" t="s">
        <v>761</v>
      </c>
      <c r="C14" s="247">
        <f>SUMIF('Unos rashoda i izdataka'!$R$3:$R$498,'A.4 RASHODI FUNK'!$A14,'Unos rashoda i izdataka'!$J$3:$J$498)+SUMIF('Unos rashoda P4'!$T$3:$T$496,'A.4 RASHODI FUNK'!$A14,'Unos rashoda P4'!$H$3:$H$496)</f>
        <v>0</v>
      </c>
      <c r="D14" s="247">
        <f>SUMIF('Unos rashoda i izdataka'!$R$3:$R$498,'A.4 RASHODI FUNK'!$A14,'Unos rashoda i izdataka'!$K$3:$K$498)+SUMIF('Unos rashoda P4'!$T$3:$T$496,'A.4 RASHODI FUNK'!$A14,'Unos rashoda P4'!$I$3:$I$496)</f>
        <v>0</v>
      </c>
      <c r="E14" s="247">
        <f>SUMIF('Unos rashoda i izdataka'!$R$3:$R$498,'A.4 RASHODI FUNK'!$A14,'Unos rashoda i izdataka'!$L$3:$L$498)+SUMIF('Unos rashoda P4'!$T$3:$T$496,'A.4 RASHODI FUNK'!$A14,'Unos rashoda P4'!$J$3:$J$496)</f>
        <v>0</v>
      </c>
    </row>
    <row r="15" spans="1:193">
      <c r="A15" s="226">
        <v>2</v>
      </c>
      <c r="B15" s="45" t="s">
        <v>3620</v>
      </c>
      <c r="C15" s="248">
        <f>SUM(C16:C20)</f>
        <v>0</v>
      </c>
      <c r="D15" s="248">
        <f>SUM(D16:D20)</f>
        <v>0</v>
      </c>
      <c r="E15" s="248">
        <f>SUM(E16:E20)</f>
        <v>0</v>
      </c>
    </row>
    <row r="16" spans="1:193">
      <c r="A16" s="242">
        <v>21</v>
      </c>
      <c r="B16" s="35" t="s">
        <v>3621</v>
      </c>
      <c r="C16" s="247">
        <f>SUMIF('Unos rashoda i izdataka'!$R$3:$R$498,'A.4 RASHODI FUNK'!$A16,'Unos rashoda i izdataka'!$J$3:$J$498)+SUMIF('Unos rashoda P4'!$T$3:$T$496,'A.4 RASHODI FUNK'!$A16,'Unos rashoda P4'!$H$3:$H$496)</f>
        <v>0</v>
      </c>
      <c r="D16" s="247">
        <f>SUMIF('Unos rashoda i izdataka'!$R$3:$R$498,'A.4 RASHODI FUNK'!$A16,'Unos rashoda i izdataka'!$K$3:$K$498)+SUMIF('Unos rashoda P4'!$T$3:$T$496,'A.4 RASHODI FUNK'!$A16,'Unos rashoda P4'!$I$3:$I$496)</f>
        <v>0</v>
      </c>
      <c r="E16" s="247">
        <f>SUMIF('Unos rashoda i izdataka'!$R$3:$R$498,'A.4 RASHODI FUNK'!$A16,'Unos rashoda i izdataka'!$L$3:$L$498)+SUMIF('Unos rashoda P4'!$T$3:$T$496,'A.4 RASHODI FUNK'!$A16,'Unos rashoda P4'!$J$3:$J$496)</f>
        <v>0</v>
      </c>
    </row>
    <row r="17" spans="1:5">
      <c r="A17" s="242">
        <v>22</v>
      </c>
      <c r="B17" s="35" t="s">
        <v>3622</v>
      </c>
      <c r="C17" s="247">
        <f>SUMIF('Unos rashoda i izdataka'!$R$3:$R$498,'A.4 RASHODI FUNK'!$A17,'Unos rashoda i izdataka'!$J$3:$J$498)+SUMIF('Unos rashoda P4'!$T$3:$T$496,'A.4 RASHODI FUNK'!$A17,'Unos rashoda P4'!$H$3:$H$496)</f>
        <v>0</v>
      </c>
      <c r="D17" s="247">
        <f>SUMIF('Unos rashoda i izdataka'!$R$3:$R$498,'A.4 RASHODI FUNK'!$A17,'Unos rashoda i izdataka'!$K$3:$K$498)+SUMIF('Unos rashoda P4'!$T$3:$T$496,'A.4 RASHODI FUNK'!$A17,'Unos rashoda P4'!$I$3:$I$496)</f>
        <v>0</v>
      </c>
      <c r="E17" s="247">
        <f>SUMIF('Unos rashoda i izdataka'!$R$3:$R$498,'A.4 RASHODI FUNK'!$A17,'Unos rashoda i izdataka'!$L$3:$L$498)+SUMIF('Unos rashoda P4'!$T$3:$T$496,'A.4 RASHODI FUNK'!$A17,'Unos rashoda P4'!$J$3:$J$496)</f>
        <v>0</v>
      </c>
    </row>
    <row r="18" spans="1:5">
      <c r="A18" s="242">
        <v>23</v>
      </c>
      <c r="B18" s="35" t="s">
        <v>3623</v>
      </c>
      <c r="C18" s="247">
        <f>SUMIF('Unos rashoda i izdataka'!$R$3:$R$498,'A.4 RASHODI FUNK'!$A18,'Unos rashoda i izdataka'!$J$3:$J$498)+SUMIF('Unos rashoda P4'!$T$3:$T$496,'A.4 RASHODI FUNK'!$A18,'Unos rashoda P4'!$H$3:$H$496)</f>
        <v>0</v>
      </c>
      <c r="D18" s="247">
        <f>SUMIF('Unos rashoda i izdataka'!$R$3:$R$498,'A.4 RASHODI FUNK'!$A18,'Unos rashoda i izdataka'!$K$3:$K$498)+SUMIF('Unos rashoda P4'!$T$3:$T$496,'A.4 RASHODI FUNK'!$A18,'Unos rashoda P4'!$I$3:$I$496)</f>
        <v>0</v>
      </c>
      <c r="E18" s="247">
        <f>SUMIF('Unos rashoda i izdataka'!$R$3:$R$498,'A.4 RASHODI FUNK'!$A18,'Unos rashoda i izdataka'!$L$3:$L$498)+SUMIF('Unos rashoda P4'!$T$3:$T$496,'A.4 RASHODI FUNK'!$A18,'Unos rashoda P4'!$J$3:$J$496)</f>
        <v>0</v>
      </c>
    </row>
    <row r="19" spans="1:5">
      <c r="A19" s="242">
        <v>24</v>
      </c>
      <c r="B19" s="35" t="s">
        <v>3624</v>
      </c>
      <c r="C19" s="247">
        <f>SUMIF('Unos rashoda i izdataka'!$R$3:$R$498,'A.4 RASHODI FUNK'!$A19,'Unos rashoda i izdataka'!$J$3:$J$498)+SUMIF('Unos rashoda P4'!$T$3:$T$496,'A.4 RASHODI FUNK'!$A19,'Unos rashoda P4'!$H$3:$H$496)</f>
        <v>0</v>
      </c>
      <c r="D19" s="247">
        <f>SUMIF('Unos rashoda i izdataka'!$R$3:$R$498,'A.4 RASHODI FUNK'!$A19,'Unos rashoda i izdataka'!$K$3:$K$498)+SUMIF('Unos rashoda P4'!$T$3:$T$496,'A.4 RASHODI FUNK'!$A19,'Unos rashoda P4'!$I$3:$I$496)</f>
        <v>0</v>
      </c>
      <c r="E19" s="247">
        <f>SUMIF('Unos rashoda i izdataka'!$R$3:$R$498,'A.4 RASHODI FUNK'!$A19,'Unos rashoda i izdataka'!$L$3:$L$498)+SUMIF('Unos rashoda P4'!$T$3:$T$496,'A.4 RASHODI FUNK'!$A19,'Unos rashoda P4'!$J$3:$J$496)</f>
        <v>0</v>
      </c>
    </row>
    <row r="20" spans="1:5">
      <c r="A20" s="242">
        <v>25</v>
      </c>
      <c r="B20" s="35" t="s">
        <v>3625</v>
      </c>
      <c r="C20" s="247">
        <f>SUMIF('Unos rashoda i izdataka'!$R$3:$R$498,'A.4 RASHODI FUNK'!$A20,'Unos rashoda i izdataka'!$J$3:$J$498)+SUMIF('Unos rashoda P4'!$T$3:$T$496,'A.4 RASHODI FUNK'!$A20,'Unos rashoda P4'!$H$3:$H$496)</f>
        <v>0</v>
      </c>
      <c r="D20" s="247">
        <f>SUMIF('Unos rashoda i izdataka'!$R$3:$R$498,'A.4 RASHODI FUNK'!$A20,'Unos rashoda i izdataka'!$K$3:$K$498)+SUMIF('Unos rashoda P4'!$T$3:$T$496,'A.4 RASHODI FUNK'!$A20,'Unos rashoda P4'!$I$3:$I$496)</f>
        <v>0</v>
      </c>
      <c r="E20" s="247">
        <f>SUMIF('Unos rashoda i izdataka'!$R$3:$R$498,'A.4 RASHODI FUNK'!$A20,'Unos rashoda i izdataka'!$L$3:$L$498)+SUMIF('Unos rashoda P4'!$T$3:$T$496,'A.4 RASHODI FUNK'!$A20,'Unos rashoda P4'!$J$3:$J$496)</f>
        <v>0</v>
      </c>
    </row>
    <row r="21" spans="1:5">
      <c r="A21" s="226">
        <v>3</v>
      </c>
      <c r="B21" s="45" t="s">
        <v>3626</v>
      </c>
      <c r="C21" s="252">
        <f>SUM(C22:C27)</f>
        <v>0</v>
      </c>
      <c r="D21" s="252">
        <f>SUM(D22:D27)</f>
        <v>0</v>
      </c>
      <c r="E21" s="252">
        <f>SUM(E22:E27)</f>
        <v>0</v>
      </c>
    </row>
    <row r="22" spans="1:5">
      <c r="A22" s="242">
        <v>31</v>
      </c>
      <c r="B22" s="35" t="s">
        <v>3627</v>
      </c>
      <c r="C22" s="247">
        <f>SUMIF('Unos rashoda i izdataka'!$R$3:$R$498,'A.4 RASHODI FUNK'!$A22,'Unos rashoda i izdataka'!$J$3:$J$498)+SUMIF('Unos rashoda P4'!$T$3:$T$496,'A.4 RASHODI FUNK'!$A22,'Unos rashoda P4'!$H$3:$H$496)</f>
        <v>0</v>
      </c>
      <c r="D22" s="247">
        <f>SUMIF('Unos rashoda i izdataka'!$R$3:$R$498,'A.4 RASHODI FUNK'!$A22,'Unos rashoda i izdataka'!$K$3:$K$498)+SUMIF('Unos rashoda P4'!$T$3:$T$496,'A.4 RASHODI FUNK'!$A22,'Unos rashoda P4'!$I$3:$I$496)</f>
        <v>0</v>
      </c>
      <c r="E22" s="247">
        <f>SUMIF('Unos rashoda i izdataka'!$R$3:$R$498,'A.4 RASHODI FUNK'!$A22,'Unos rashoda i izdataka'!$L$3:$L$498)+SUMIF('Unos rashoda P4'!$T$3:$T$496,'A.4 RASHODI FUNK'!$A22,'Unos rashoda P4'!$J$3:$J$496)</f>
        <v>0</v>
      </c>
    </row>
    <row r="23" spans="1:5">
      <c r="A23" s="242">
        <v>32</v>
      </c>
      <c r="B23" s="35" t="s">
        <v>3628</v>
      </c>
      <c r="C23" s="247">
        <f>SUMIF('Unos rashoda i izdataka'!$R$3:$R$498,'A.4 RASHODI FUNK'!$A23,'Unos rashoda i izdataka'!$J$3:$J$498)+SUMIF('Unos rashoda P4'!$T$3:$T$496,'A.4 RASHODI FUNK'!$A23,'Unos rashoda P4'!$H$3:$H$496)</f>
        <v>0</v>
      </c>
      <c r="D23" s="247">
        <f>SUMIF('Unos rashoda i izdataka'!$R$3:$R$498,'A.4 RASHODI FUNK'!$A23,'Unos rashoda i izdataka'!$K$3:$K$498)+SUMIF('Unos rashoda P4'!$T$3:$T$496,'A.4 RASHODI FUNK'!$A23,'Unos rashoda P4'!$I$3:$I$496)</f>
        <v>0</v>
      </c>
      <c r="E23" s="247">
        <f>SUMIF('Unos rashoda i izdataka'!$R$3:$R$498,'A.4 RASHODI FUNK'!$A23,'Unos rashoda i izdataka'!$L$3:$L$498)+SUMIF('Unos rashoda P4'!$T$3:$T$496,'A.4 RASHODI FUNK'!$A23,'Unos rashoda P4'!$J$3:$J$496)</f>
        <v>0</v>
      </c>
    </row>
    <row r="24" spans="1:5">
      <c r="A24" s="242">
        <v>33</v>
      </c>
      <c r="B24" s="35" t="s">
        <v>3629</v>
      </c>
      <c r="C24" s="247">
        <f>SUMIF('Unos rashoda i izdataka'!$R$3:$R$498,'A.4 RASHODI FUNK'!$A24,'Unos rashoda i izdataka'!$J$3:$J$498)+SUMIF('Unos rashoda P4'!$T$3:$T$496,'A.4 RASHODI FUNK'!$A24,'Unos rashoda P4'!$H$3:$H$496)</f>
        <v>0</v>
      </c>
      <c r="D24" s="247">
        <f>SUMIF('Unos rashoda i izdataka'!$R$3:$R$498,'A.4 RASHODI FUNK'!$A24,'Unos rashoda i izdataka'!$K$3:$K$498)+SUMIF('Unos rashoda P4'!$T$3:$T$496,'A.4 RASHODI FUNK'!$A24,'Unos rashoda P4'!$I$3:$I$496)</f>
        <v>0</v>
      </c>
      <c r="E24" s="247">
        <f>SUMIF('Unos rashoda i izdataka'!$R$3:$R$498,'A.4 RASHODI FUNK'!$A24,'Unos rashoda i izdataka'!$L$3:$L$498)+SUMIF('Unos rashoda P4'!$T$3:$T$496,'A.4 RASHODI FUNK'!$A24,'Unos rashoda P4'!$J$3:$J$496)</f>
        <v>0</v>
      </c>
    </row>
    <row r="25" spans="1:5">
      <c r="A25" s="242">
        <v>34</v>
      </c>
      <c r="B25" s="35" t="s">
        <v>3630</v>
      </c>
      <c r="C25" s="247">
        <f>SUMIF('Unos rashoda i izdataka'!$R$3:$R$498,'A.4 RASHODI FUNK'!$A25,'Unos rashoda i izdataka'!$J$3:$J$498)+SUMIF('Unos rashoda P4'!$T$3:$T$496,'A.4 RASHODI FUNK'!$A25,'Unos rashoda P4'!$H$3:$H$496)</f>
        <v>0</v>
      </c>
      <c r="D25" s="247">
        <f>SUMIF('Unos rashoda i izdataka'!$R$3:$R$498,'A.4 RASHODI FUNK'!$A25,'Unos rashoda i izdataka'!$K$3:$K$498)+SUMIF('Unos rashoda P4'!$T$3:$T$496,'A.4 RASHODI FUNK'!$A25,'Unos rashoda P4'!$I$3:$I$496)</f>
        <v>0</v>
      </c>
      <c r="E25" s="247">
        <f>SUMIF('Unos rashoda i izdataka'!$R$3:$R$498,'A.4 RASHODI FUNK'!$A25,'Unos rashoda i izdataka'!$L$3:$L$498)+SUMIF('Unos rashoda P4'!$T$3:$T$496,'A.4 RASHODI FUNK'!$A25,'Unos rashoda P4'!$J$3:$J$496)</f>
        <v>0</v>
      </c>
    </row>
    <row r="26" spans="1:5">
      <c r="A26" s="242">
        <v>35</v>
      </c>
      <c r="B26" s="35" t="s">
        <v>3631</v>
      </c>
      <c r="C26" s="247">
        <f>SUMIF('Unos rashoda i izdataka'!$R$3:$R$498,'A.4 RASHODI FUNK'!$A26,'Unos rashoda i izdataka'!$J$3:$J$498)+SUMIF('Unos rashoda P4'!$T$3:$T$496,'A.4 RASHODI FUNK'!$A26,'Unos rashoda P4'!$H$3:$H$496)</f>
        <v>0</v>
      </c>
      <c r="D26" s="247">
        <f>SUMIF('Unos rashoda i izdataka'!$R$3:$R$498,'A.4 RASHODI FUNK'!$A26,'Unos rashoda i izdataka'!$K$3:$K$498)+SUMIF('Unos rashoda P4'!$T$3:$T$496,'A.4 RASHODI FUNK'!$A26,'Unos rashoda P4'!$I$3:$I$496)</f>
        <v>0</v>
      </c>
      <c r="E26" s="247">
        <f>SUMIF('Unos rashoda i izdataka'!$R$3:$R$498,'A.4 RASHODI FUNK'!$A26,'Unos rashoda i izdataka'!$L$3:$L$498)+SUMIF('Unos rashoda P4'!$T$3:$T$496,'A.4 RASHODI FUNK'!$A26,'Unos rashoda P4'!$J$3:$J$496)</f>
        <v>0</v>
      </c>
    </row>
    <row r="27" spans="1:5" ht="25.5">
      <c r="A27" s="242">
        <v>36</v>
      </c>
      <c r="B27" s="35" t="s">
        <v>3632</v>
      </c>
      <c r="C27" s="247">
        <f>SUMIF('Unos rashoda i izdataka'!$R$3:$R$498,'A.4 RASHODI FUNK'!$A27,'Unos rashoda i izdataka'!$J$3:$J$498)+SUMIF('Unos rashoda P4'!$T$3:$T$496,'A.4 RASHODI FUNK'!$A27,'Unos rashoda P4'!$H$3:$H$496)</f>
        <v>0</v>
      </c>
      <c r="D27" s="247">
        <f>SUMIF('Unos rashoda i izdataka'!$R$3:$R$498,'A.4 RASHODI FUNK'!$A27,'Unos rashoda i izdataka'!$K$3:$K$498)+SUMIF('Unos rashoda P4'!$T$3:$T$496,'A.4 RASHODI FUNK'!$A27,'Unos rashoda P4'!$I$3:$I$496)</f>
        <v>0</v>
      </c>
      <c r="E27" s="247">
        <f>SUMIF('Unos rashoda i izdataka'!$R$3:$R$498,'A.4 RASHODI FUNK'!$A27,'Unos rashoda i izdataka'!$L$3:$L$498)+SUMIF('Unos rashoda P4'!$T$3:$T$496,'A.4 RASHODI FUNK'!$A27,'Unos rashoda P4'!$J$3:$J$496)</f>
        <v>0</v>
      </c>
    </row>
    <row r="28" spans="1:5">
      <c r="A28" s="226">
        <v>4</v>
      </c>
      <c r="B28" s="45" t="s">
        <v>3633</v>
      </c>
      <c r="C28" s="252">
        <f>SUM(C29:C37)</f>
        <v>0</v>
      </c>
      <c r="D28" s="252">
        <f>SUM(D29:D37)</f>
        <v>0</v>
      </c>
      <c r="E28" s="252">
        <f>SUM(E29:E37)</f>
        <v>0</v>
      </c>
    </row>
    <row r="29" spans="1:5">
      <c r="A29" s="242">
        <v>41</v>
      </c>
      <c r="B29" s="35" t="s">
        <v>3634</v>
      </c>
      <c r="C29" s="247">
        <f>SUMIF('Unos rashoda i izdataka'!$R$3:$R$498,'A.4 RASHODI FUNK'!$A29,'Unos rashoda i izdataka'!$J$3:$J$498)+SUMIF('Unos rashoda P4'!$T$3:$T$496,'A.4 RASHODI FUNK'!$A29,'Unos rashoda P4'!$H$3:$H$496)</f>
        <v>0</v>
      </c>
      <c r="D29" s="247">
        <f>SUMIF('Unos rashoda i izdataka'!$R$3:$R$498,'A.4 RASHODI FUNK'!$A29,'Unos rashoda i izdataka'!$K$3:$K$498)+SUMIF('Unos rashoda P4'!$T$3:$T$496,'A.4 RASHODI FUNK'!$A29,'Unos rashoda P4'!$I$3:$I$496)</f>
        <v>0</v>
      </c>
      <c r="E29" s="247">
        <f>SUMIF('Unos rashoda i izdataka'!$R$3:$R$498,'A.4 RASHODI FUNK'!$A29,'Unos rashoda i izdataka'!$L$3:$L$498)+SUMIF('Unos rashoda P4'!$T$3:$T$496,'A.4 RASHODI FUNK'!$A29,'Unos rashoda P4'!$J$3:$J$496)</f>
        <v>0</v>
      </c>
    </row>
    <row r="30" spans="1:5">
      <c r="A30" s="242">
        <v>42</v>
      </c>
      <c r="B30" s="35" t="s">
        <v>3635</v>
      </c>
      <c r="C30" s="247">
        <f>SUMIF('Unos rashoda i izdataka'!$R$3:$R$498,'A.4 RASHODI FUNK'!$A30,'Unos rashoda i izdataka'!$J$3:$J$498)+SUMIF('Unos rashoda P4'!$T$3:$T$496,'A.4 RASHODI FUNK'!$A30,'Unos rashoda P4'!$H$3:$H$496)</f>
        <v>0</v>
      </c>
      <c r="D30" s="247">
        <f>SUMIF('Unos rashoda i izdataka'!$R$3:$R$498,'A.4 RASHODI FUNK'!$A30,'Unos rashoda i izdataka'!$K$3:$K$498)+SUMIF('Unos rashoda P4'!$T$3:$T$496,'A.4 RASHODI FUNK'!$A30,'Unos rashoda P4'!$I$3:$I$496)</f>
        <v>0</v>
      </c>
      <c r="E30" s="247">
        <f>SUMIF('Unos rashoda i izdataka'!$R$3:$R$498,'A.4 RASHODI FUNK'!$A30,'Unos rashoda i izdataka'!$L$3:$L$498)+SUMIF('Unos rashoda P4'!$T$3:$T$496,'A.4 RASHODI FUNK'!$A30,'Unos rashoda P4'!$J$3:$J$496)</f>
        <v>0</v>
      </c>
    </row>
    <row r="31" spans="1:5">
      <c r="A31" s="242">
        <v>43</v>
      </c>
      <c r="B31" s="35" t="s">
        <v>3636</v>
      </c>
      <c r="C31" s="247">
        <f>SUMIF('Unos rashoda i izdataka'!$R$3:$R$498,'A.4 RASHODI FUNK'!$A31,'Unos rashoda i izdataka'!$J$3:$J$498)+SUMIF('Unos rashoda P4'!$T$3:$T$496,'A.4 RASHODI FUNK'!$A31,'Unos rashoda P4'!$H$3:$H$496)</f>
        <v>0</v>
      </c>
      <c r="D31" s="247">
        <f>SUMIF('Unos rashoda i izdataka'!$R$3:$R$498,'A.4 RASHODI FUNK'!$A31,'Unos rashoda i izdataka'!$K$3:$K$498)+SUMIF('Unos rashoda P4'!$T$3:$T$496,'A.4 RASHODI FUNK'!$A31,'Unos rashoda P4'!$I$3:$I$496)</f>
        <v>0</v>
      </c>
      <c r="E31" s="247">
        <f>SUMIF('Unos rashoda i izdataka'!$R$3:$R$498,'A.4 RASHODI FUNK'!$A31,'Unos rashoda i izdataka'!$L$3:$L$498)+SUMIF('Unos rashoda P4'!$T$3:$T$496,'A.4 RASHODI FUNK'!$A31,'Unos rashoda P4'!$J$3:$J$496)</f>
        <v>0</v>
      </c>
    </row>
    <row r="32" spans="1:5">
      <c r="A32" s="242">
        <v>44</v>
      </c>
      <c r="B32" s="35" t="s">
        <v>3637</v>
      </c>
      <c r="C32" s="247">
        <f>SUMIF('Unos rashoda i izdataka'!$R$3:$R$498,'A.4 RASHODI FUNK'!$A32,'Unos rashoda i izdataka'!$J$3:$J$498)+SUMIF('Unos rashoda P4'!$T$3:$T$496,'A.4 RASHODI FUNK'!$A32,'Unos rashoda P4'!$H$3:$H$496)</f>
        <v>0</v>
      </c>
      <c r="D32" s="247">
        <f>SUMIF('Unos rashoda i izdataka'!$R$3:$R$498,'A.4 RASHODI FUNK'!$A32,'Unos rashoda i izdataka'!$K$3:$K$498)+SUMIF('Unos rashoda P4'!$T$3:$T$496,'A.4 RASHODI FUNK'!$A32,'Unos rashoda P4'!$I$3:$I$496)</f>
        <v>0</v>
      </c>
      <c r="E32" s="247">
        <f>SUMIF('Unos rashoda i izdataka'!$R$3:$R$498,'A.4 RASHODI FUNK'!$A32,'Unos rashoda i izdataka'!$L$3:$L$498)+SUMIF('Unos rashoda P4'!$T$3:$T$496,'A.4 RASHODI FUNK'!$A32,'Unos rashoda P4'!$J$3:$J$496)</f>
        <v>0</v>
      </c>
    </row>
    <row r="33" spans="1:5">
      <c r="A33" s="242">
        <v>45</v>
      </c>
      <c r="B33" s="35" t="s">
        <v>3638</v>
      </c>
      <c r="C33" s="247">
        <f>SUMIF('Unos rashoda i izdataka'!$R$3:$R$498,'A.4 RASHODI FUNK'!$A33,'Unos rashoda i izdataka'!$J$3:$J$498)+SUMIF('Unos rashoda P4'!$T$3:$T$496,'A.4 RASHODI FUNK'!$A33,'Unos rashoda P4'!$H$3:$H$496)</f>
        <v>0</v>
      </c>
      <c r="D33" s="247">
        <f>SUMIF('Unos rashoda i izdataka'!$R$3:$R$498,'A.4 RASHODI FUNK'!$A33,'Unos rashoda i izdataka'!$K$3:$K$498)+SUMIF('Unos rashoda P4'!$T$3:$T$496,'A.4 RASHODI FUNK'!$A33,'Unos rashoda P4'!$I$3:$I$496)</f>
        <v>0</v>
      </c>
      <c r="E33" s="247">
        <f>SUMIF('Unos rashoda i izdataka'!$R$3:$R$498,'A.4 RASHODI FUNK'!$A33,'Unos rashoda i izdataka'!$L$3:$L$498)+SUMIF('Unos rashoda P4'!$T$3:$T$496,'A.4 RASHODI FUNK'!$A33,'Unos rashoda P4'!$J$3:$J$496)</f>
        <v>0</v>
      </c>
    </row>
    <row r="34" spans="1:5">
      <c r="A34" s="242">
        <v>46</v>
      </c>
      <c r="B34" s="35" t="s">
        <v>1190</v>
      </c>
      <c r="C34" s="247">
        <f>SUMIF('Unos rashoda i izdataka'!$R$3:$R$498,'A.4 RASHODI FUNK'!$A34,'Unos rashoda i izdataka'!$J$3:$J$498)+SUMIF('Unos rashoda P4'!$T$3:$T$496,'A.4 RASHODI FUNK'!$A34,'Unos rashoda P4'!$H$3:$H$496)</f>
        <v>0</v>
      </c>
      <c r="D34" s="247">
        <f>SUMIF('Unos rashoda i izdataka'!$R$3:$R$498,'A.4 RASHODI FUNK'!$A34,'Unos rashoda i izdataka'!$K$3:$K$498)+SUMIF('Unos rashoda P4'!$T$3:$T$496,'A.4 RASHODI FUNK'!$A34,'Unos rashoda P4'!$I$3:$I$496)</f>
        <v>0</v>
      </c>
      <c r="E34" s="247">
        <f>SUMIF('Unos rashoda i izdataka'!$R$3:$R$498,'A.4 RASHODI FUNK'!$A34,'Unos rashoda i izdataka'!$L$3:$L$498)+SUMIF('Unos rashoda P4'!$T$3:$T$496,'A.4 RASHODI FUNK'!$A34,'Unos rashoda P4'!$J$3:$J$496)</f>
        <v>0</v>
      </c>
    </row>
    <row r="35" spans="1:5">
      <c r="A35" s="242">
        <v>47</v>
      </c>
      <c r="B35" s="35" t="s">
        <v>3639</v>
      </c>
      <c r="C35" s="247">
        <f>SUMIF('Unos rashoda i izdataka'!$R$3:$R$498,'A.4 RASHODI FUNK'!$A35,'Unos rashoda i izdataka'!$J$3:$J$498)+SUMIF('Unos rashoda P4'!$T$3:$T$496,'A.4 RASHODI FUNK'!$A35,'Unos rashoda P4'!$H$3:$H$496)</f>
        <v>0</v>
      </c>
      <c r="D35" s="247">
        <f>SUMIF('Unos rashoda i izdataka'!$R$3:$R$498,'A.4 RASHODI FUNK'!$A35,'Unos rashoda i izdataka'!$K$3:$K$498)+SUMIF('Unos rashoda P4'!$T$3:$T$496,'A.4 RASHODI FUNK'!$A35,'Unos rashoda P4'!$I$3:$I$496)</f>
        <v>0</v>
      </c>
      <c r="E35" s="247">
        <f>SUMIF('Unos rashoda i izdataka'!$R$3:$R$498,'A.4 RASHODI FUNK'!$A35,'Unos rashoda i izdataka'!$L$3:$L$498)+SUMIF('Unos rashoda P4'!$T$3:$T$496,'A.4 RASHODI FUNK'!$A35,'Unos rashoda P4'!$J$3:$J$496)</f>
        <v>0</v>
      </c>
    </row>
    <row r="36" spans="1:5">
      <c r="A36" s="242">
        <v>48</v>
      </c>
      <c r="B36" s="35" t="s">
        <v>3640</v>
      </c>
      <c r="C36" s="247">
        <f>SUMIF('Unos rashoda i izdataka'!$R$3:$R$498,'A.4 RASHODI FUNK'!$A36,'Unos rashoda i izdataka'!$J$3:$J$498)+SUMIF('Unos rashoda P4'!$T$3:$T$496,'A.4 RASHODI FUNK'!$A36,'Unos rashoda P4'!$H$3:$H$496)</f>
        <v>0</v>
      </c>
      <c r="D36" s="247">
        <f>SUMIF('Unos rashoda i izdataka'!$R$3:$R$498,'A.4 RASHODI FUNK'!$A36,'Unos rashoda i izdataka'!$K$3:$K$498)+SUMIF('Unos rashoda P4'!$T$3:$T$496,'A.4 RASHODI FUNK'!$A36,'Unos rashoda P4'!$I$3:$I$496)</f>
        <v>0</v>
      </c>
      <c r="E36" s="247">
        <f>SUMIF('Unos rashoda i izdataka'!$R$3:$R$498,'A.4 RASHODI FUNK'!$A36,'Unos rashoda i izdataka'!$L$3:$L$498)+SUMIF('Unos rashoda P4'!$T$3:$T$496,'A.4 RASHODI FUNK'!$A36,'Unos rashoda P4'!$J$3:$J$496)</f>
        <v>0</v>
      </c>
    </row>
    <row r="37" spans="1:5">
      <c r="A37" s="242">
        <v>49</v>
      </c>
      <c r="B37" s="35" t="s">
        <v>3641</v>
      </c>
      <c r="C37" s="247">
        <f>SUMIF('Unos rashoda i izdataka'!$R$3:$R$498,'A.4 RASHODI FUNK'!$A37,'Unos rashoda i izdataka'!$J$3:$J$498)+SUMIF('Unos rashoda P4'!$T$3:$T$496,'A.4 RASHODI FUNK'!$A37,'Unos rashoda P4'!$H$3:$H$496)</f>
        <v>0</v>
      </c>
      <c r="D37" s="247">
        <f>SUMIF('Unos rashoda i izdataka'!$R$3:$R$498,'A.4 RASHODI FUNK'!$A37,'Unos rashoda i izdataka'!$K$3:$K$498)+SUMIF('Unos rashoda P4'!$T$3:$T$496,'A.4 RASHODI FUNK'!$A37,'Unos rashoda P4'!$I$3:$I$496)</f>
        <v>0</v>
      </c>
      <c r="E37" s="247">
        <f>SUMIF('Unos rashoda i izdataka'!$R$3:$R$498,'A.4 RASHODI FUNK'!$A37,'Unos rashoda i izdataka'!$L$3:$L$498)+SUMIF('Unos rashoda P4'!$T$3:$T$496,'A.4 RASHODI FUNK'!$A37,'Unos rashoda P4'!$J$3:$J$496)</f>
        <v>0</v>
      </c>
    </row>
    <row r="38" spans="1:5">
      <c r="A38" s="226">
        <v>5</v>
      </c>
      <c r="B38" s="45" t="s">
        <v>3642</v>
      </c>
      <c r="C38" s="252">
        <f>SUM(C39:C44)</f>
        <v>0</v>
      </c>
      <c r="D38" s="252">
        <f>SUM(D39:D44)</f>
        <v>0</v>
      </c>
      <c r="E38" s="252">
        <f>SUM(E39:E44)</f>
        <v>0</v>
      </c>
    </row>
    <row r="39" spans="1:5">
      <c r="A39" s="242">
        <v>51</v>
      </c>
      <c r="B39" s="35" t="s">
        <v>3643</v>
      </c>
      <c r="C39" s="247">
        <f>SUMIF('Unos rashoda i izdataka'!$R$3:$R$498,'A.4 RASHODI FUNK'!$A39,'Unos rashoda i izdataka'!$J$3:$J$498)+SUMIF('Unos rashoda P4'!$T$3:$T$496,'A.4 RASHODI FUNK'!$A39,'Unos rashoda P4'!$H$3:$H$496)</f>
        <v>0</v>
      </c>
      <c r="D39" s="247">
        <f>SUMIF('Unos rashoda i izdataka'!$R$3:$R$498,'A.4 RASHODI FUNK'!$A39,'Unos rashoda i izdataka'!$K$3:$K$498)+SUMIF('Unos rashoda P4'!$T$3:$T$496,'A.4 RASHODI FUNK'!$A39,'Unos rashoda P4'!$I$3:$I$496)</f>
        <v>0</v>
      </c>
      <c r="E39" s="247">
        <f>SUMIF('Unos rashoda i izdataka'!$R$3:$R$498,'A.4 RASHODI FUNK'!$A39,'Unos rashoda i izdataka'!$L$3:$L$498)+SUMIF('Unos rashoda P4'!$T$3:$T$496,'A.4 RASHODI FUNK'!$A39,'Unos rashoda P4'!$J$3:$J$496)</f>
        <v>0</v>
      </c>
    </row>
    <row r="40" spans="1:5">
      <c r="A40" s="242">
        <v>52</v>
      </c>
      <c r="B40" s="35" t="s">
        <v>3644</v>
      </c>
      <c r="C40" s="247">
        <f>SUMIF('Unos rashoda i izdataka'!$R$3:$R$498,'A.4 RASHODI FUNK'!$A40,'Unos rashoda i izdataka'!$J$3:$J$498)+SUMIF('Unos rashoda P4'!$T$3:$T$496,'A.4 RASHODI FUNK'!$A40,'Unos rashoda P4'!$H$3:$H$496)</f>
        <v>0</v>
      </c>
      <c r="D40" s="247">
        <f>SUMIF('Unos rashoda i izdataka'!$R$3:$R$498,'A.4 RASHODI FUNK'!$A40,'Unos rashoda i izdataka'!$K$3:$K$498)+SUMIF('Unos rashoda P4'!$T$3:$T$496,'A.4 RASHODI FUNK'!$A40,'Unos rashoda P4'!$I$3:$I$496)</f>
        <v>0</v>
      </c>
      <c r="E40" s="247">
        <f>SUMIF('Unos rashoda i izdataka'!$R$3:$R$498,'A.4 RASHODI FUNK'!$A40,'Unos rashoda i izdataka'!$L$3:$L$498)+SUMIF('Unos rashoda P4'!$T$3:$T$496,'A.4 RASHODI FUNK'!$A40,'Unos rashoda P4'!$J$3:$J$496)</f>
        <v>0</v>
      </c>
    </row>
    <row r="41" spans="1:5">
      <c r="A41" s="242">
        <v>53</v>
      </c>
      <c r="B41" s="35" t="s">
        <v>3645</v>
      </c>
      <c r="C41" s="247">
        <f>SUMIF('Unos rashoda i izdataka'!$R$3:$R$498,'A.4 RASHODI FUNK'!$A41,'Unos rashoda i izdataka'!$J$3:$J$498)+SUMIF('Unos rashoda P4'!$T$3:$T$496,'A.4 RASHODI FUNK'!$A41,'Unos rashoda P4'!$H$3:$H$496)</f>
        <v>0</v>
      </c>
      <c r="D41" s="247">
        <f>SUMIF('Unos rashoda i izdataka'!$R$3:$R$498,'A.4 RASHODI FUNK'!$A41,'Unos rashoda i izdataka'!$K$3:$K$498)+SUMIF('Unos rashoda P4'!$T$3:$T$496,'A.4 RASHODI FUNK'!$A41,'Unos rashoda P4'!$I$3:$I$496)</f>
        <v>0</v>
      </c>
      <c r="E41" s="247">
        <f>SUMIF('Unos rashoda i izdataka'!$R$3:$R$498,'A.4 RASHODI FUNK'!$A41,'Unos rashoda i izdataka'!$L$3:$L$498)+SUMIF('Unos rashoda P4'!$T$3:$T$496,'A.4 RASHODI FUNK'!$A41,'Unos rashoda P4'!$J$3:$J$496)</f>
        <v>0</v>
      </c>
    </row>
    <row r="42" spans="1:5">
      <c r="A42" s="242">
        <v>54</v>
      </c>
      <c r="B42" s="35" t="s">
        <v>3646</v>
      </c>
      <c r="C42" s="247">
        <f>SUMIF('Unos rashoda i izdataka'!$R$3:$R$498,'A.4 RASHODI FUNK'!$A42,'Unos rashoda i izdataka'!$J$3:$J$498)+SUMIF('Unos rashoda P4'!$T$3:$T$496,'A.4 RASHODI FUNK'!$A42,'Unos rashoda P4'!$H$3:$H$496)</f>
        <v>0</v>
      </c>
      <c r="D42" s="247">
        <f>SUMIF('Unos rashoda i izdataka'!$R$3:$R$498,'A.4 RASHODI FUNK'!$A42,'Unos rashoda i izdataka'!$K$3:$K$498)+SUMIF('Unos rashoda P4'!$T$3:$T$496,'A.4 RASHODI FUNK'!$A42,'Unos rashoda P4'!$I$3:$I$496)</f>
        <v>0</v>
      </c>
      <c r="E42" s="247">
        <f>SUMIF('Unos rashoda i izdataka'!$R$3:$R$498,'A.4 RASHODI FUNK'!$A42,'Unos rashoda i izdataka'!$L$3:$L$498)+SUMIF('Unos rashoda P4'!$T$3:$T$496,'A.4 RASHODI FUNK'!$A42,'Unos rashoda P4'!$J$3:$J$496)</f>
        <v>0</v>
      </c>
    </row>
    <row r="43" spans="1:5">
      <c r="A43" s="242">
        <v>55</v>
      </c>
      <c r="B43" s="35" t="s">
        <v>3647</v>
      </c>
      <c r="C43" s="247">
        <f>SUMIF('Unos rashoda i izdataka'!$R$3:$R$498,'A.4 RASHODI FUNK'!$A43,'Unos rashoda i izdataka'!$J$3:$J$498)+SUMIF('Unos rashoda P4'!$T$3:$T$496,'A.4 RASHODI FUNK'!$A43,'Unos rashoda P4'!$H$3:$H$496)</f>
        <v>0</v>
      </c>
      <c r="D43" s="247">
        <f>SUMIF('Unos rashoda i izdataka'!$R$3:$R$498,'A.4 RASHODI FUNK'!$A43,'Unos rashoda i izdataka'!$K$3:$K$498)+SUMIF('Unos rashoda P4'!$T$3:$T$496,'A.4 RASHODI FUNK'!$A43,'Unos rashoda P4'!$I$3:$I$496)</f>
        <v>0</v>
      </c>
      <c r="E43" s="247">
        <f>SUMIF('Unos rashoda i izdataka'!$R$3:$R$498,'A.4 RASHODI FUNK'!$A43,'Unos rashoda i izdataka'!$L$3:$L$498)+SUMIF('Unos rashoda P4'!$T$3:$T$496,'A.4 RASHODI FUNK'!$A43,'Unos rashoda P4'!$J$3:$J$496)</f>
        <v>0</v>
      </c>
    </row>
    <row r="44" spans="1:5" ht="25.5">
      <c r="A44" s="242">
        <v>56</v>
      </c>
      <c r="B44" s="35" t="s">
        <v>3648</v>
      </c>
      <c r="C44" s="247">
        <f>SUMIF('Unos rashoda i izdataka'!$R$3:$R$498,'A.4 RASHODI FUNK'!$A44,'Unos rashoda i izdataka'!$J$3:$J$498)+SUMIF('Unos rashoda P4'!$T$3:$T$496,'A.4 RASHODI FUNK'!$A44,'Unos rashoda P4'!$H$3:$H$496)</f>
        <v>0</v>
      </c>
      <c r="D44" s="247">
        <f>SUMIF('Unos rashoda i izdataka'!$R$3:$R$498,'A.4 RASHODI FUNK'!$A44,'Unos rashoda i izdataka'!$K$3:$K$498)+SUMIF('Unos rashoda P4'!$T$3:$T$496,'A.4 RASHODI FUNK'!$A44,'Unos rashoda P4'!$I$3:$I$496)</f>
        <v>0</v>
      </c>
      <c r="E44" s="247">
        <f>SUMIF('Unos rashoda i izdataka'!$R$3:$R$498,'A.4 RASHODI FUNK'!$A44,'Unos rashoda i izdataka'!$L$3:$L$498)+SUMIF('Unos rashoda P4'!$T$3:$T$496,'A.4 RASHODI FUNK'!$A44,'Unos rashoda P4'!$J$3:$J$496)</f>
        <v>0</v>
      </c>
    </row>
    <row r="45" spans="1:5">
      <c r="A45" s="226">
        <v>6</v>
      </c>
      <c r="B45" s="45" t="s">
        <v>3649</v>
      </c>
      <c r="C45" s="252">
        <f>SUM(C46:C51)</f>
        <v>0</v>
      </c>
      <c r="D45" s="252">
        <f>SUM(D46:D51)</f>
        <v>0</v>
      </c>
      <c r="E45" s="252">
        <f>SUM(E46:E51)</f>
        <v>0</v>
      </c>
    </row>
    <row r="46" spans="1:5">
      <c r="A46" s="242">
        <v>61</v>
      </c>
      <c r="B46" s="35" t="s">
        <v>3650</v>
      </c>
      <c r="C46" s="247">
        <f>SUMIF('Unos rashoda i izdataka'!$R$3:$R$498,'A.4 RASHODI FUNK'!$A46,'Unos rashoda i izdataka'!$J$3:$J$498)+SUMIF('Unos rashoda P4'!$T$3:$T$496,'A.4 RASHODI FUNK'!$A46,'Unos rashoda P4'!$H$3:$H$496)</f>
        <v>0</v>
      </c>
      <c r="D46" s="247">
        <f>SUMIF('Unos rashoda i izdataka'!$R$3:$R$498,'A.4 RASHODI FUNK'!$A46,'Unos rashoda i izdataka'!$K$3:$K$498)+SUMIF('Unos rashoda P4'!$T$3:$T$496,'A.4 RASHODI FUNK'!$A46,'Unos rashoda P4'!$I$3:$I$496)</f>
        <v>0</v>
      </c>
      <c r="E46" s="247">
        <f>SUMIF('Unos rashoda i izdataka'!$R$3:$R$498,'A.4 RASHODI FUNK'!$A46,'Unos rashoda i izdataka'!$L$3:$L$498)+SUMIF('Unos rashoda P4'!$T$3:$T$496,'A.4 RASHODI FUNK'!$A46,'Unos rashoda P4'!$J$3:$J$496)</f>
        <v>0</v>
      </c>
    </row>
    <row r="47" spans="1:5">
      <c r="A47" s="242">
        <v>62</v>
      </c>
      <c r="B47" s="35" t="s">
        <v>3651</v>
      </c>
      <c r="C47" s="247">
        <f>SUMIF('Unos rashoda i izdataka'!$R$3:$R$498,'A.4 RASHODI FUNK'!$A47,'Unos rashoda i izdataka'!$J$3:$J$498)+SUMIF('Unos rashoda P4'!$T$3:$T$496,'A.4 RASHODI FUNK'!$A47,'Unos rashoda P4'!$H$3:$H$496)</f>
        <v>0</v>
      </c>
      <c r="D47" s="247">
        <f>SUMIF('Unos rashoda i izdataka'!$R$3:$R$498,'A.4 RASHODI FUNK'!$A47,'Unos rashoda i izdataka'!$K$3:$K$498)+SUMIF('Unos rashoda P4'!$T$3:$T$496,'A.4 RASHODI FUNK'!$A47,'Unos rashoda P4'!$I$3:$I$496)</f>
        <v>0</v>
      </c>
      <c r="E47" s="247">
        <f>SUMIF('Unos rashoda i izdataka'!$R$3:$R$498,'A.4 RASHODI FUNK'!$A47,'Unos rashoda i izdataka'!$L$3:$L$498)+SUMIF('Unos rashoda P4'!$T$3:$T$496,'A.4 RASHODI FUNK'!$A47,'Unos rashoda P4'!$J$3:$J$496)</f>
        <v>0</v>
      </c>
    </row>
    <row r="48" spans="1:5">
      <c r="A48" s="242">
        <v>63</v>
      </c>
      <c r="B48" s="35" t="s">
        <v>3652</v>
      </c>
      <c r="C48" s="247">
        <f>SUMIF('Unos rashoda i izdataka'!$R$3:$R$498,'A.4 RASHODI FUNK'!$A48,'Unos rashoda i izdataka'!$J$3:$J$498)+SUMIF('Unos rashoda P4'!$T$3:$T$496,'A.4 RASHODI FUNK'!$A48,'Unos rashoda P4'!$H$3:$H$496)</f>
        <v>0</v>
      </c>
      <c r="D48" s="247">
        <f>SUMIF('Unos rashoda i izdataka'!$R$3:$R$498,'A.4 RASHODI FUNK'!$A48,'Unos rashoda i izdataka'!$K$3:$K$498)+SUMIF('Unos rashoda P4'!$T$3:$T$496,'A.4 RASHODI FUNK'!$A48,'Unos rashoda P4'!$I$3:$I$496)</f>
        <v>0</v>
      </c>
      <c r="E48" s="247">
        <f>SUMIF('Unos rashoda i izdataka'!$R$3:$R$498,'A.4 RASHODI FUNK'!$A48,'Unos rashoda i izdataka'!$L$3:$L$498)+SUMIF('Unos rashoda P4'!$T$3:$T$496,'A.4 RASHODI FUNK'!$A48,'Unos rashoda P4'!$J$3:$J$496)</f>
        <v>0</v>
      </c>
    </row>
    <row r="49" spans="1:5">
      <c r="A49" s="242">
        <v>64</v>
      </c>
      <c r="B49" s="35" t="s">
        <v>3653</v>
      </c>
      <c r="C49" s="247">
        <f>SUMIF('Unos rashoda i izdataka'!$R$3:$R$498,'A.4 RASHODI FUNK'!$A49,'Unos rashoda i izdataka'!$J$3:$J$498)+SUMIF('Unos rashoda P4'!$T$3:$T$496,'A.4 RASHODI FUNK'!$A49,'Unos rashoda P4'!$H$3:$H$496)</f>
        <v>0</v>
      </c>
      <c r="D49" s="247">
        <f>SUMIF('Unos rashoda i izdataka'!$R$3:$R$498,'A.4 RASHODI FUNK'!$A49,'Unos rashoda i izdataka'!$K$3:$K$498)+SUMIF('Unos rashoda P4'!$T$3:$T$496,'A.4 RASHODI FUNK'!$A49,'Unos rashoda P4'!$I$3:$I$496)</f>
        <v>0</v>
      </c>
      <c r="E49" s="247">
        <f>SUMIF('Unos rashoda i izdataka'!$R$3:$R$498,'A.4 RASHODI FUNK'!$A49,'Unos rashoda i izdataka'!$L$3:$L$498)+SUMIF('Unos rashoda P4'!$T$3:$T$496,'A.4 RASHODI FUNK'!$A49,'Unos rashoda P4'!$J$3:$J$496)</f>
        <v>0</v>
      </c>
    </row>
    <row r="50" spans="1:5" ht="25.5">
      <c r="A50" s="242">
        <v>65</v>
      </c>
      <c r="B50" s="35" t="s">
        <v>3654</v>
      </c>
      <c r="C50" s="247">
        <f>SUMIF('Unos rashoda i izdataka'!$R$3:$R$498,'A.4 RASHODI FUNK'!$A50,'Unos rashoda i izdataka'!$J$3:$J$498)+SUMIF('Unos rashoda P4'!$T$3:$T$496,'A.4 RASHODI FUNK'!$A50,'Unos rashoda P4'!$H$3:$H$496)</f>
        <v>0</v>
      </c>
      <c r="D50" s="247">
        <f>SUMIF('Unos rashoda i izdataka'!$R$3:$R$498,'A.4 RASHODI FUNK'!$A50,'Unos rashoda i izdataka'!$K$3:$K$498)+SUMIF('Unos rashoda P4'!$T$3:$T$496,'A.4 RASHODI FUNK'!$A50,'Unos rashoda P4'!$I$3:$I$496)</f>
        <v>0</v>
      </c>
      <c r="E50" s="247">
        <f>SUMIF('Unos rashoda i izdataka'!$R$3:$R$498,'A.4 RASHODI FUNK'!$A50,'Unos rashoda i izdataka'!$L$3:$L$498)+SUMIF('Unos rashoda P4'!$T$3:$T$496,'A.4 RASHODI FUNK'!$A50,'Unos rashoda P4'!$J$3:$J$496)</f>
        <v>0</v>
      </c>
    </row>
    <row r="51" spans="1:5" ht="25.5">
      <c r="A51" s="242">
        <v>66</v>
      </c>
      <c r="B51" s="35" t="s">
        <v>3655</v>
      </c>
      <c r="C51" s="247">
        <f>SUMIF('Unos rashoda i izdataka'!$R$3:$R$498,'A.4 RASHODI FUNK'!$A51,'Unos rashoda i izdataka'!$J$3:$J$498)+SUMIF('Unos rashoda P4'!$T$3:$T$496,'A.4 RASHODI FUNK'!$A51,'Unos rashoda P4'!$H$3:$H$496)</f>
        <v>0</v>
      </c>
      <c r="D51" s="247">
        <f>SUMIF('Unos rashoda i izdataka'!$R$3:$R$498,'A.4 RASHODI FUNK'!$A51,'Unos rashoda i izdataka'!$K$3:$K$498)+SUMIF('Unos rashoda P4'!$T$3:$T$496,'A.4 RASHODI FUNK'!$A51,'Unos rashoda P4'!$I$3:$I$496)</f>
        <v>0</v>
      </c>
      <c r="E51" s="247">
        <f>SUMIF('Unos rashoda i izdataka'!$R$3:$R$498,'A.4 RASHODI FUNK'!$A51,'Unos rashoda i izdataka'!$L$3:$L$498)+SUMIF('Unos rashoda P4'!$T$3:$T$496,'A.4 RASHODI FUNK'!$A51,'Unos rashoda P4'!$J$3:$J$496)</f>
        <v>0</v>
      </c>
    </row>
    <row r="52" spans="1:5">
      <c r="A52" s="226">
        <v>7</v>
      </c>
      <c r="B52" s="45" t="s">
        <v>3656</v>
      </c>
      <c r="C52" s="252">
        <f>SUM(C53:C58)</f>
        <v>0</v>
      </c>
      <c r="D52" s="252">
        <f>SUM(D53:D58)</f>
        <v>0</v>
      </c>
      <c r="E52" s="252">
        <f>SUM(E53:E58)</f>
        <v>0</v>
      </c>
    </row>
    <row r="53" spans="1:5">
      <c r="A53" s="242">
        <v>71</v>
      </c>
      <c r="B53" s="35" t="s">
        <v>3657</v>
      </c>
      <c r="C53" s="247">
        <f>SUMIF('Unos rashoda i izdataka'!$R$3:$R$498,'A.4 RASHODI FUNK'!$A53,'Unos rashoda i izdataka'!$J$3:$J$498)+SUMIF('Unos rashoda P4'!$T$3:$T$496,'A.4 RASHODI FUNK'!$A53,'Unos rashoda P4'!$H$3:$H$496)</f>
        <v>0</v>
      </c>
      <c r="D53" s="247">
        <f>SUMIF('Unos rashoda i izdataka'!$R$3:$R$498,'A.4 RASHODI FUNK'!$A53,'Unos rashoda i izdataka'!$K$3:$K$498)+SUMIF('Unos rashoda P4'!$T$3:$T$496,'A.4 RASHODI FUNK'!$A53,'Unos rashoda P4'!$I$3:$I$496)</f>
        <v>0</v>
      </c>
      <c r="E53" s="247">
        <f>SUMIF('Unos rashoda i izdataka'!$R$3:$R$498,'A.4 RASHODI FUNK'!$A53,'Unos rashoda i izdataka'!$L$3:$L$498)+SUMIF('Unos rashoda P4'!$T$3:$T$496,'A.4 RASHODI FUNK'!$A53,'Unos rashoda P4'!$J$3:$J$496)</f>
        <v>0</v>
      </c>
    </row>
    <row r="54" spans="1:5">
      <c r="A54" s="242">
        <v>72</v>
      </c>
      <c r="B54" s="35" t="s">
        <v>3658</v>
      </c>
      <c r="C54" s="247">
        <f>SUMIF('Unos rashoda i izdataka'!$R$3:$R$498,'A.4 RASHODI FUNK'!$A54,'Unos rashoda i izdataka'!$J$3:$J$498)+SUMIF('Unos rashoda P4'!$T$3:$T$496,'A.4 RASHODI FUNK'!$A54,'Unos rashoda P4'!$H$3:$H$496)</f>
        <v>0</v>
      </c>
      <c r="D54" s="247">
        <f>SUMIF('Unos rashoda i izdataka'!$R$3:$R$498,'A.4 RASHODI FUNK'!$A54,'Unos rashoda i izdataka'!$K$3:$K$498)+SUMIF('Unos rashoda P4'!$T$3:$T$496,'A.4 RASHODI FUNK'!$A54,'Unos rashoda P4'!$I$3:$I$496)</f>
        <v>0</v>
      </c>
      <c r="E54" s="247">
        <f>SUMIF('Unos rashoda i izdataka'!$R$3:$R$498,'A.4 RASHODI FUNK'!$A54,'Unos rashoda i izdataka'!$L$3:$L$498)+SUMIF('Unos rashoda P4'!$T$3:$T$496,'A.4 RASHODI FUNK'!$A54,'Unos rashoda P4'!$J$3:$J$496)</f>
        <v>0</v>
      </c>
    </row>
    <row r="55" spans="1:5">
      <c r="A55" s="242">
        <v>73</v>
      </c>
      <c r="B55" s="35" t="s">
        <v>3659</v>
      </c>
      <c r="C55" s="247">
        <f>SUMIF('Unos rashoda i izdataka'!$R$3:$R$498,'A.4 RASHODI FUNK'!$A55,'Unos rashoda i izdataka'!$J$3:$J$498)+SUMIF('Unos rashoda P4'!$T$3:$T$496,'A.4 RASHODI FUNK'!$A55,'Unos rashoda P4'!$H$3:$H$496)</f>
        <v>0</v>
      </c>
      <c r="D55" s="247">
        <f>SUMIF('Unos rashoda i izdataka'!$R$3:$R$498,'A.4 RASHODI FUNK'!$A55,'Unos rashoda i izdataka'!$K$3:$K$498)+SUMIF('Unos rashoda P4'!$T$3:$T$496,'A.4 RASHODI FUNK'!$A55,'Unos rashoda P4'!$I$3:$I$496)</f>
        <v>0</v>
      </c>
      <c r="E55" s="247">
        <f>SUMIF('Unos rashoda i izdataka'!$R$3:$R$498,'A.4 RASHODI FUNK'!$A55,'Unos rashoda i izdataka'!$L$3:$L$498)+SUMIF('Unos rashoda P4'!$T$3:$T$496,'A.4 RASHODI FUNK'!$A55,'Unos rashoda P4'!$J$3:$J$496)</f>
        <v>0</v>
      </c>
    </row>
    <row r="56" spans="1:5">
      <c r="A56" s="242">
        <v>74</v>
      </c>
      <c r="B56" s="35" t="s">
        <v>3660</v>
      </c>
      <c r="C56" s="247">
        <f>SUMIF('Unos rashoda i izdataka'!$R$3:$R$498,'A.4 RASHODI FUNK'!$A56,'Unos rashoda i izdataka'!$J$3:$J$498)+SUMIF('Unos rashoda P4'!$T$3:$T$496,'A.4 RASHODI FUNK'!$A56,'Unos rashoda P4'!$H$3:$H$496)</f>
        <v>0</v>
      </c>
      <c r="D56" s="247">
        <f>SUMIF('Unos rashoda i izdataka'!$R$3:$R$498,'A.4 RASHODI FUNK'!$A56,'Unos rashoda i izdataka'!$K$3:$K$498)+SUMIF('Unos rashoda P4'!$T$3:$T$496,'A.4 RASHODI FUNK'!$A56,'Unos rashoda P4'!$I$3:$I$496)</f>
        <v>0</v>
      </c>
      <c r="E56" s="247">
        <f>SUMIF('Unos rashoda i izdataka'!$R$3:$R$498,'A.4 RASHODI FUNK'!$A56,'Unos rashoda i izdataka'!$L$3:$L$498)+SUMIF('Unos rashoda P4'!$T$3:$T$496,'A.4 RASHODI FUNK'!$A56,'Unos rashoda P4'!$J$3:$J$496)</f>
        <v>0</v>
      </c>
    </row>
    <row r="57" spans="1:5">
      <c r="A57" s="242">
        <v>75</v>
      </c>
      <c r="B57" s="35" t="s">
        <v>3661</v>
      </c>
      <c r="C57" s="247">
        <f>SUMIF('Unos rashoda i izdataka'!$R$3:$R$498,'A.4 RASHODI FUNK'!$A57,'Unos rashoda i izdataka'!$J$3:$J$498)+SUMIF('Unos rashoda P4'!$T$3:$T$496,'A.4 RASHODI FUNK'!$A57,'Unos rashoda P4'!$H$3:$H$496)</f>
        <v>0</v>
      </c>
      <c r="D57" s="247">
        <f>SUMIF('Unos rashoda i izdataka'!$R$3:$R$498,'A.4 RASHODI FUNK'!$A57,'Unos rashoda i izdataka'!$K$3:$K$498)+SUMIF('Unos rashoda P4'!$T$3:$T$496,'A.4 RASHODI FUNK'!$A57,'Unos rashoda P4'!$I$3:$I$496)</f>
        <v>0</v>
      </c>
      <c r="E57" s="247">
        <f>SUMIF('Unos rashoda i izdataka'!$R$3:$R$498,'A.4 RASHODI FUNK'!$A57,'Unos rashoda i izdataka'!$L$3:$L$498)+SUMIF('Unos rashoda P4'!$T$3:$T$496,'A.4 RASHODI FUNK'!$A57,'Unos rashoda P4'!$J$3:$J$496)</f>
        <v>0</v>
      </c>
    </row>
    <row r="58" spans="1:5" ht="25.5">
      <c r="A58" s="242">
        <v>76</v>
      </c>
      <c r="B58" s="35" t="s">
        <v>3662</v>
      </c>
      <c r="C58" s="247">
        <f>SUMIF('Unos rashoda i izdataka'!$R$3:$R$498,'A.4 RASHODI FUNK'!$A58,'Unos rashoda i izdataka'!$J$3:$J$498)+SUMIF('Unos rashoda P4'!$T$3:$T$496,'A.4 RASHODI FUNK'!$A58,'Unos rashoda P4'!$H$3:$H$496)</f>
        <v>0</v>
      </c>
      <c r="D58" s="247">
        <f>SUMIF('Unos rashoda i izdataka'!$R$3:$R$498,'A.4 RASHODI FUNK'!$A58,'Unos rashoda i izdataka'!$K$3:$K$498)+SUMIF('Unos rashoda P4'!$T$3:$T$496,'A.4 RASHODI FUNK'!$A58,'Unos rashoda P4'!$I$3:$I$496)</f>
        <v>0</v>
      </c>
      <c r="E58" s="247">
        <f>SUMIF('Unos rashoda i izdataka'!$R$3:$R$498,'A.4 RASHODI FUNK'!$A58,'Unos rashoda i izdataka'!$L$3:$L$498)+SUMIF('Unos rashoda P4'!$T$3:$T$496,'A.4 RASHODI FUNK'!$A58,'Unos rashoda P4'!$J$3:$J$496)</f>
        <v>0</v>
      </c>
    </row>
    <row r="59" spans="1:5">
      <c r="A59" s="226">
        <v>8</v>
      </c>
      <c r="B59" s="45" t="s">
        <v>3663</v>
      </c>
      <c r="C59" s="252">
        <f>SUM(C60:C65)</f>
        <v>0</v>
      </c>
      <c r="D59" s="252">
        <f>SUM(D60:D65)</f>
        <v>0</v>
      </c>
      <c r="E59" s="252">
        <f>SUM(E60:E65)</f>
        <v>0</v>
      </c>
    </row>
    <row r="60" spans="1:5">
      <c r="A60" s="242">
        <v>81</v>
      </c>
      <c r="B60" s="35" t="s">
        <v>3664</v>
      </c>
      <c r="C60" s="247">
        <f>SUMIF('Unos rashoda i izdataka'!$R$3:$R$498,'A.4 RASHODI FUNK'!$A60,'Unos rashoda i izdataka'!$J$3:$J$498)+SUMIF('Unos rashoda P4'!$T$3:$T$496,'A.4 RASHODI FUNK'!$A60,'Unos rashoda P4'!$H$3:$H$496)</f>
        <v>0</v>
      </c>
      <c r="D60" s="247">
        <f>SUMIF('Unos rashoda i izdataka'!$R$3:$R$498,'A.4 RASHODI FUNK'!$A60,'Unos rashoda i izdataka'!$K$3:$K$498)+SUMIF('Unos rashoda P4'!$T$3:$T$496,'A.4 RASHODI FUNK'!$A60,'Unos rashoda P4'!$I$3:$I$496)</f>
        <v>0</v>
      </c>
      <c r="E60" s="247">
        <f>SUMIF('Unos rashoda i izdataka'!$R$3:$R$498,'A.4 RASHODI FUNK'!$A60,'Unos rashoda i izdataka'!$L$3:$L$498)+SUMIF('Unos rashoda P4'!$T$3:$T$496,'A.4 RASHODI FUNK'!$A60,'Unos rashoda P4'!$J$3:$J$496)</f>
        <v>0</v>
      </c>
    </row>
    <row r="61" spans="1:5">
      <c r="A61" s="242">
        <v>82</v>
      </c>
      <c r="B61" s="35" t="s">
        <v>687</v>
      </c>
      <c r="C61" s="247">
        <f>SUMIF('Unos rashoda i izdataka'!$R$3:$R$498,'A.4 RASHODI FUNK'!$A61,'Unos rashoda i izdataka'!$J$3:$J$498)+SUMIF('Unos rashoda P4'!$T$3:$T$496,'A.4 RASHODI FUNK'!$A61,'Unos rashoda P4'!$H$3:$H$496)</f>
        <v>0</v>
      </c>
      <c r="D61" s="247">
        <f>SUMIF('Unos rashoda i izdataka'!$R$3:$R$498,'A.4 RASHODI FUNK'!$A61,'Unos rashoda i izdataka'!$K$3:$K$498)+SUMIF('Unos rashoda P4'!$T$3:$T$496,'A.4 RASHODI FUNK'!$A61,'Unos rashoda P4'!$I$3:$I$496)</f>
        <v>0</v>
      </c>
      <c r="E61" s="247">
        <f>SUMIF('Unos rashoda i izdataka'!$R$3:$R$498,'A.4 RASHODI FUNK'!$A61,'Unos rashoda i izdataka'!$L$3:$L$498)+SUMIF('Unos rashoda P4'!$T$3:$T$496,'A.4 RASHODI FUNK'!$A61,'Unos rashoda P4'!$J$3:$J$496)</f>
        <v>0</v>
      </c>
    </row>
    <row r="62" spans="1:5">
      <c r="A62" s="242">
        <v>83</v>
      </c>
      <c r="B62" s="35" t="s">
        <v>3665</v>
      </c>
      <c r="C62" s="247">
        <f>SUMIF('Unos rashoda i izdataka'!$R$3:$R$498,'A.4 RASHODI FUNK'!$A62,'Unos rashoda i izdataka'!$J$3:$J$498)+SUMIF('Unos rashoda P4'!$T$3:$T$496,'A.4 RASHODI FUNK'!$A62,'Unos rashoda P4'!$H$3:$H$496)</f>
        <v>0</v>
      </c>
      <c r="D62" s="247">
        <f>SUMIF('Unos rashoda i izdataka'!$R$3:$R$498,'A.4 RASHODI FUNK'!$A62,'Unos rashoda i izdataka'!$K$3:$K$498)+SUMIF('Unos rashoda P4'!$T$3:$T$496,'A.4 RASHODI FUNK'!$A62,'Unos rashoda P4'!$I$3:$I$496)</f>
        <v>0</v>
      </c>
      <c r="E62" s="247">
        <f>SUMIF('Unos rashoda i izdataka'!$R$3:$R$498,'A.4 RASHODI FUNK'!$A62,'Unos rashoda i izdataka'!$L$3:$L$498)+SUMIF('Unos rashoda P4'!$T$3:$T$496,'A.4 RASHODI FUNK'!$A62,'Unos rashoda P4'!$J$3:$J$496)</f>
        <v>0</v>
      </c>
    </row>
    <row r="63" spans="1:5">
      <c r="A63" s="242">
        <v>84</v>
      </c>
      <c r="B63" s="35" t="s">
        <v>3666</v>
      </c>
      <c r="C63" s="247">
        <f>SUMIF('Unos rashoda i izdataka'!$R$3:$R$498,'A.4 RASHODI FUNK'!$A63,'Unos rashoda i izdataka'!$J$3:$J$498)+SUMIF('Unos rashoda P4'!$T$3:$T$496,'A.4 RASHODI FUNK'!$A63,'Unos rashoda P4'!$H$3:$H$496)</f>
        <v>0</v>
      </c>
      <c r="D63" s="247">
        <f>SUMIF('Unos rashoda i izdataka'!$R$3:$R$498,'A.4 RASHODI FUNK'!$A63,'Unos rashoda i izdataka'!$K$3:$K$498)+SUMIF('Unos rashoda P4'!$T$3:$T$496,'A.4 RASHODI FUNK'!$A63,'Unos rashoda P4'!$I$3:$I$496)</f>
        <v>0</v>
      </c>
      <c r="E63" s="247">
        <f>SUMIF('Unos rashoda i izdataka'!$R$3:$R$498,'A.4 RASHODI FUNK'!$A63,'Unos rashoda i izdataka'!$L$3:$L$498)+SUMIF('Unos rashoda P4'!$T$3:$T$496,'A.4 RASHODI FUNK'!$A63,'Unos rashoda P4'!$J$3:$J$496)</f>
        <v>0</v>
      </c>
    </row>
    <row r="64" spans="1:5">
      <c r="A64" s="242">
        <v>85</v>
      </c>
      <c r="B64" s="35" t="s">
        <v>3667</v>
      </c>
      <c r="C64" s="247">
        <f>SUMIF('Unos rashoda i izdataka'!$R$3:$R$498,'A.4 RASHODI FUNK'!$A64,'Unos rashoda i izdataka'!$J$3:$J$498)+SUMIF('Unos rashoda P4'!$T$3:$T$496,'A.4 RASHODI FUNK'!$A64,'Unos rashoda P4'!$H$3:$H$496)</f>
        <v>0</v>
      </c>
      <c r="D64" s="247">
        <f>SUMIF('Unos rashoda i izdataka'!$R$3:$R$498,'A.4 RASHODI FUNK'!$A64,'Unos rashoda i izdataka'!$K$3:$K$498)+SUMIF('Unos rashoda P4'!$T$3:$T$496,'A.4 RASHODI FUNK'!$A64,'Unos rashoda P4'!$I$3:$I$496)</f>
        <v>0</v>
      </c>
      <c r="E64" s="247">
        <f>SUMIF('Unos rashoda i izdataka'!$R$3:$R$498,'A.4 RASHODI FUNK'!$A64,'Unos rashoda i izdataka'!$L$3:$L$498)+SUMIF('Unos rashoda P4'!$T$3:$T$496,'A.4 RASHODI FUNK'!$A64,'Unos rashoda P4'!$J$3:$J$496)</f>
        <v>0</v>
      </c>
    </row>
    <row r="65" spans="1:5" ht="25.5">
      <c r="A65" s="242">
        <v>86</v>
      </c>
      <c r="B65" s="35" t="s">
        <v>3668</v>
      </c>
      <c r="C65" s="247">
        <f>SUMIF('Unos rashoda i izdataka'!$R$3:$R$498,'A.4 RASHODI FUNK'!$A65,'Unos rashoda i izdataka'!$J$3:$J$498)+SUMIF('Unos rashoda P4'!$T$3:$T$496,'A.4 RASHODI FUNK'!$A65,'Unos rashoda P4'!$H$3:$H$496)</f>
        <v>0</v>
      </c>
      <c r="D65" s="247">
        <f>SUMIF('Unos rashoda i izdataka'!$R$3:$R$498,'A.4 RASHODI FUNK'!$A65,'Unos rashoda i izdataka'!$K$3:$K$498)+SUMIF('Unos rashoda P4'!$T$3:$T$496,'A.4 RASHODI FUNK'!$A65,'Unos rashoda P4'!$I$3:$I$496)</f>
        <v>0</v>
      </c>
      <c r="E65" s="247">
        <f>SUMIF('Unos rashoda i izdataka'!$R$3:$R$498,'A.4 RASHODI FUNK'!$A65,'Unos rashoda i izdataka'!$L$3:$L$498)+SUMIF('Unos rashoda P4'!$T$3:$T$496,'A.4 RASHODI FUNK'!$A65,'Unos rashoda P4'!$J$3:$J$496)</f>
        <v>0</v>
      </c>
    </row>
    <row r="66" spans="1:5">
      <c r="A66" s="226">
        <v>9</v>
      </c>
      <c r="B66" s="45" t="s">
        <v>3669</v>
      </c>
      <c r="C66" s="252">
        <f>SUM(C67:C74)</f>
        <v>2742759</v>
      </c>
      <c r="D66" s="252">
        <f>SUM(D67:D74)</f>
        <v>8252204</v>
      </c>
      <c r="E66" s="252">
        <f>SUM(E67:E74)</f>
        <v>3176187</v>
      </c>
    </row>
    <row r="67" spans="1:5">
      <c r="A67" s="242">
        <v>91</v>
      </c>
      <c r="B67" s="35" t="s">
        <v>3670</v>
      </c>
      <c r="C67" s="247">
        <f>SUMIF('Unos rashoda i izdataka'!$R$3:$R$498,'A.4 RASHODI FUNK'!$A67,'Unos rashoda i izdataka'!$J$3:$J$498)+SUMIF('Unos rashoda P4'!$T$3:$T$496,'A.4 RASHODI FUNK'!$A67,'Unos rashoda P4'!$H$3:$H$496)</f>
        <v>0</v>
      </c>
      <c r="D67" s="247">
        <f>SUMIF('Unos rashoda i izdataka'!$R$3:$R$498,'A.4 RASHODI FUNK'!$A67,'Unos rashoda i izdataka'!$K$3:$K$498)+SUMIF('Unos rashoda P4'!$T$3:$T$496,'A.4 RASHODI FUNK'!$A67,'Unos rashoda P4'!$I$3:$I$496)</f>
        <v>0</v>
      </c>
      <c r="E67" s="247">
        <f>SUMIF('Unos rashoda i izdataka'!$R$3:$R$498,'A.4 RASHODI FUNK'!$A67,'Unos rashoda i izdataka'!$L$3:$L$498)+SUMIF('Unos rashoda P4'!$T$3:$T$496,'A.4 RASHODI FUNK'!$A67,'Unos rashoda P4'!$J$3:$J$496)</f>
        <v>0</v>
      </c>
    </row>
    <row r="68" spans="1:5">
      <c r="A68" s="242">
        <v>92</v>
      </c>
      <c r="B68" s="35" t="s">
        <v>3671</v>
      </c>
      <c r="C68" s="247">
        <f>SUMIF('Unos rashoda i izdataka'!$R$3:$R$498,'A.4 RASHODI FUNK'!$A68,'Unos rashoda i izdataka'!$J$3:$J$498)+SUMIF('Unos rashoda P4'!$T$3:$T$496,'A.4 RASHODI FUNK'!$A68,'Unos rashoda P4'!$H$3:$H$496)</f>
        <v>0</v>
      </c>
      <c r="D68" s="247">
        <f>SUMIF('Unos rashoda i izdataka'!$R$3:$R$498,'A.4 RASHODI FUNK'!$A68,'Unos rashoda i izdataka'!$K$3:$K$498)+SUMIF('Unos rashoda P4'!$T$3:$T$496,'A.4 RASHODI FUNK'!$A68,'Unos rashoda P4'!$I$3:$I$496)</f>
        <v>0</v>
      </c>
      <c r="E68" s="247">
        <f>SUMIF('Unos rashoda i izdataka'!$R$3:$R$498,'A.4 RASHODI FUNK'!$A68,'Unos rashoda i izdataka'!$L$3:$L$498)+SUMIF('Unos rashoda P4'!$T$3:$T$496,'A.4 RASHODI FUNK'!$A68,'Unos rashoda P4'!$J$3:$J$496)</f>
        <v>0</v>
      </c>
    </row>
    <row r="69" spans="1:5">
      <c r="A69" s="242">
        <v>93</v>
      </c>
      <c r="B69" s="35" t="s">
        <v>3672</v>
      </c>
      <c r="C69" s="247">
        <f>SUMIF('Unos rashoda i izdataka'!$R$3:$R$498,'A.4 RASHODI FUNK'!$A69,'Unos rashoda i izdataka'!$J$3:$J$498)+SUMIF('Unos rashoda P4'!$T$3:$T$496,'A.4 RASHODI FUNK'!$A69,'Unos rashoda P4'!$H$3:$H$496)</f>
        <v>0</v>
      </c>
      <c r="D69" s="247">
        <f>SUMIF('Unos rashoda i izdataka'!$R$3:$R$498,'A.4 RASHODI FUNK'!$A69,'Unos rashoda i izdataka'!$K$3:$K$498)+SUMIF('Unos rashoda P4'!$T$3:$T$496,'A.4 RASHODI FUNK'!$A69,'Unos rashoda P4'!$I$3:$I$496)</f>
        <v>0</v>
      </c>
      <c r="E69" s="247">
        <f>SUMIF('Unos rashoda i izdataka'!$R$3:$R$498,'A.4 RASHODI FUNK'!$A69,'Unos rashoda i izdataka'!$L$3:$L$498)+SUMIF('Unos rashoda P4'!$T$3:$T$496,'A.4 RASHODI FUNK'!$A69,'Unos rashoda P4'!$J$3:$J$496)</f>
        <v>0</v>
      </c>
    </row>
    <row r="70" spans="1:5">
      <c r="A70" s="242">
        <v>94</v>
      </c>
      <c r="B70" s="35" t="s">
        <v>3673</v>
      </c>
      <c r="C70" s="247">
        <f>SUMIF('Unos rashoda i izdataka'!$R$3:$R$498,'A.4 RASHODI FUNK'!$A70,'Unos rashoda i izdataka'!$J$3:$J$498)+SUMIF('Unos rashoda P4'!$T$3:$T$496,'A.4 RASHODI FUNK'!$A70,'Unos rashoda P4'!$H$3:$H$496)</f>
        <v>2742759</v>
      </c>
      <c r="D70" s="247">
        <f>SUMIF('Unos rashoda i izdataka'!$R$3:$R$498,'A.4 RASHODI FUNK'!$A70,'Unos rashoda i izdataka'!$K$3:$K$498)+SUMIF('Unos rashoda P4'!$T$3:$T$496,'A.4 RASHODI FUNK'!$A70,'Unos rashoda P4'!$I$3:$I$496)</f>
        <v>8252204</v>
      </c>
      <c r="E70" s="247">
        <f>SUMIF('Unos rashoda i izdataka'!$R$3:$R$498,'A.4 RASHODI FUNK'!$A70,'Unos rashoda i izdataka'!$L$3:$L$498)+SUMIF('Unos rashoda P4'!$T$3:$T$496,'A.4 RASHODI FUNK'!$A70,'Unos rashoda P4'!$J$3:$J$496)+1177</f>
        <v>3176187</v>
      </c>
    </row>
    <row r="71" spans="1:5">
      <c r="A71" s="242">
        <v>95</v>
      </c>
      <c r="B71" s="35" t="s">
        <v>1044</v>
      </c>
      <c r="C71" s="247">
        <f>SUMIF('Unos rashoda i izdataka'!$R$3:$R$498,'A.4 RASHODI FUNK'!$A71,'Unos rashoda i izdataka'!$J$3:$J$498)+SUMIF('Unos rashoda P4'!$T$3:$T$496,'A.4 RASHODI FUNK'!$A71,'Unos rashoda P4'!$H$3:$H$496)</f>
        <v>0</v>
      </c>
      <c r="D71" s="247">
        <f>SUMIF('Unos rashoda i izdataka'!$R$3:$R$498,'A.4 RASHODI FUNK'!$A71,'Unos rashoda i izdataka'!$K$3:$K$498)+SUMIF('Unos rashoda P4'!$T$3:$T$496,'A.4 RASHODI FUNK'!$A71,'Unos rashoda P4'!$I$3:$I$496)</f>
        <v>0</v>
      </c>
      <c r="E71" s="247">
        <f>SUMIF('Unos rashoda i izdataka'!$R$3:$R$498,'A.4 RASHODI FUNK'!$A71,'Unos rashoda i izdataka'!$L$3:$L$498)+SUMIF('Unos rashoda P4'!$T$3:$T$496,'A.4 RASHODI FUNK'!$A71,'Unos rashoda P4'!$J$3:$J$496)</f>
        <v>0</v>
      </c>
    </row>
    <row r="72" spans="1:5">
      <c r="A72" s="242">
        <v>96</v>
      </c>
      <c r="B72" s="35" t="s">
        <v>804</v>
      </c>
      <c r="C72" s="247">
        <f>SUMIF('Unos rashoda i izdataka'!$R$3:$R$498,'A.4 RASHODI FUNK'!$A72,'Unos rashoda i izdataka'!$J$3:$J$498)+SUMIF('Unos rashoda P4'!$T$3:$T$496,'A.4 RASHODI FUNK'!$A72,'Unos rashoda P4'!$H$3:$H$496)</f>
        <v>0</v>
      </c>
      <c r="D72" s="247">
        <f>SUMIF('Unos rashoda i izdataka'!$R$3:$R$498,'A.4 RASHODI FUNK'!$A72,'Unos rashoda i izdataka'!$K$3:$K$498)+SUMIF('Unos rashoda P4'!$T$3:$T$496,'A.4 RASHODI FUNK'!$A72,'Unos rashoda P4'!$I$3:$I$496)</f>
        <v>0</v>
      </c>
      <c r="E72" s="247">
        <f>SUMIF('Unos rashoda i izdataka'!$R$3:$R$498,'A.4 RASHODI FUNK'!$A72,'Unos rashoda i izdataka'!$L$3:$L$498)+SUMIF('Unos rashoda P4'!$T$3:$T$496,'A.4 RASHODI FUNK'!$A72,'Unos rashoda P4'!$J$3:$J$496)</f>
        <v>0</v>
      </c>
    </row>
    <row r="73" spans="1:5">
      <c r="A73" s="242">
        <v>97</v>
      </c>
      <c r="B73" s="35" t="s">
        <v>658</v>
      </c>
      <c r="C73" s="247">
        <f>SUMIF('Unos rashoda i izdataka'!$R$3:$R$498,'A.4 RASHODI FUNK'!$A73,'Unos rashoda i izdataka'!$J$3:$J$498)+SUMIF('Unos rashoda P4'!$T$3:$T$496,'A.4 RASHODI FUNK'!$A73,'Unos rashoda P4'!$H$3:$H$496)</f>
        <v>0</v>
      </c>
      <c r="D73" s="247">
        <f>SUMIF('Unos rashoda i izdataka'!$R$3:$R$498,'A.4 RASHODI FUNK'!$A73,'Unos rashoda i izdataka'!$K$3:$K$498)+SUMIF('Unos rashoda P4'!$T$3:$T$496,'A.4 RASHODI FUNK'!$A73,'Unos rashoda P4'!$I$3:$I$496)</f>
        <v>0</v>
      </c>
      <c r="E73" s="247">
        <f>SUMIF('Unos rashoda i izdataka'!$R$3:$R$498,'A.4 RASHODI FUNK'!$A73,'Unos rashoda i izdataka'!$L$3:$L$498)+SUMIF('Unos rashoda P4'!$T$3:$T$496,'A.4 RASHODI FUNK'!$A73,'Unos rashoda P4'!$J$3:$J$496)</f>
        <v>0</v>
      </c>
    </row>
    <row r="74" spans="1:5">
      <c r="A74" s="242">
        <v>98</v>
      </c>
      <c r="B74" s="35" t="s">
        <v>665</v>
      </c>
      <c r="C74" s="247">
        <f>SUMIF('Unos rashoda i izdataka'!$R$3:$R$498,'A.4 RASHODI FUNK'!$A74,'Unos rashoda i izdataka'!$J$3:$J$498)+SUMIF('Unos rashoda P4'!$T$3:$T$496,'A.4 RASHODI FUNK'!$A74,'Unos rashoda P4'!$H$3:$H$496)</f>
        <v>0</v>
      </c>
      <c r="D74" s="247">
        <f>SUMIF('Unos rashoda i izdataka'!$R$3:$R$498,'A.4 RASHODI FUNK'!$A74,'Unos rashoda i izdataka'!$K$3:$K$498)+SUMIF('Unos rashoda P4'!$T$3:$T$496,'A.4 RASHODI FUNK'!$A74,'Unos rashoda P4'!$I$3:$I$496)</f>
        <v>0</v>
      </c>
      <c r="E74" s="247">
        <f>SUMIF('Unos rashoda i izdataka'!$R$3:$R$498,'A.4 RASHODI FUNK'!$A74,'Unos rashoda i izdataka'!$L$3:$L$498)+SUMIF('Unos rashoda P4'!$T$3:$T$496,'A.4 RASHODI FUNK'!$A74,'Unos rashoda P4'!$J$3:$J$496)</f>
        <v>0</v>
      </c>
    </row>
    <row r="75" spans="1:5">
      <c r="A75" s="226">
        <v>10</v>
      </c>
      <c r="B75" s="45" t="s">
        <v>3674</v>
      </c>
      <c r="C75" s="252">
        <f>SUM(C76:C84)</f>
        <v>0</v>
      </c>
      <c r="D75" s="252">
        <f>SUM(D76:D84)</f>
        <v>0</v>
      </c>
      <c r="E75" s="252">
        <f>SUM(E76:E84)</f>
        <v>0</v>
      </c>
    </row>
    <row r="76" spans="1:5">
      <c r="A76" s="242">
        <v>101</v>
      </c>
      <c r="B76" s="35" t="s">
        <v>3675</v>
      </c>
      <c r="C76" s="247">
        <f>SUMIF('Unos rashoda i izdataka'!$R$3:$R$498,'A.4 RASHODI FUNK'!$A76,'Unos rashoda i izdataka'!$J$3:$J$498)+SUMIF('Unos rashoda P4'!$T$3:$T$496,'A.4 RASHODI FUNK'!$A76,'Unos rashoda P4'!$H$3:$H$496)</f>
        <v>0</v>
      </c>
      <c r="D76" s="247">
        <f>SUMIF('Unos rashoda i izdataka'!$R$3:$R$498,'A.4 RASHODI FUNK'!$A76,'Unos rashoda i izdataka'!$K$3:$K$498)+SUMIF('Unos rashoda P4'!$T$3:$T$496,'A.4 RASHODI FUNK'!$A76,'Unos rashoda P4'!$I$3:$I$496)</f>
        <v>0</v>
      </c>
      <c r="E76" s="247">
        <f>SUMIF('Unos rashoda i izdataka'!$R$3:$R$498,'A.4 RASHODI FUNK'!$A76,'Unos rashoda i izdataka'!$L$3:$L$498)+SUMIF('Unos rashoda P4'!$T$3:$T$496,'A.4 RASHODI FUNK'!$A76,'Unos rashoda P4'!$J$3:$J$496)</f>
        <v>0</v>
      </c>
    </row>
    <row r="77" spans="1:5">
      <c r="A77" s="242">
        <v>102</v>
      </c>
      <c r="B77" s="35" t="s">
        <v>3676</v>
      </c>
      <c r="C77" s="247">
        <f>SUMIF('Unos rashoda i izdataka'!$R$3:$R$498,'A.4 RASHODI FUNK'!$A77,'Unos rashoda i izdataka'!$J$3:$J$498)+SUMIF('Unos rashoda P4'!$T$3:$T$496,'A.4 RASHODI FUNK'!$A77,'Unos rashoda P4'!$H$3:$H$496)</f>
        <v>0</v>
      </c>
      <c r="D77" s="247">
        <f>SUMIF('Unos rashoda i izdataka'!$R$3:$R$498,'A.4 RASHODI FUNK'!$A77,'Unos rashoda i izdataka'!$K$3:$K$498)+SUMIF('Unos rashoda P4'!$T$3:$T$496,'A.4 RASHODI FUNK'!$A77,'Unos rashoda P4'!$I$3:$I$496)</f>
        <v>0</v>
      </c>
      <c r="E77" s="247">
        <f>SUMIF('Unos rashoda i izdataka'!$R$3:$R$498,'A.4 RASHODI FUNK'!$A77,'Unos rashoda i izdataka'!$L$3:$L$498)+SUMIF('Unos rashoda P4'!$T$3:$T$496,'A.4 RASHODI FUNK'!$A77,'Unos rashoda P4'!$J$3:$J$496)</f>
        <v>0</v>
      </c>
    </row>
    <row r="78" spans="1:5">
      <c r="A78" s="242">
        <v>103</v>
      </c>
      <c r="B78" s="35" t="s">
        <v>3677</v>
      </c>
      <c r="C78" s="247">
        <f>SUMIF('Unos rashoda i izdataka'!$R$3:$R$498,'A.4 RASHODI FUNK'!$A78,'Unos rashoda i izdataka'!$J$3:$J$498)+SUMIF('Unos rashoda P4'!$T$3:$T$496,'A.4 RASHODI FUNK'!$A78,'Unos rashoda P4'!$H$3:$H$496)</f>
        <v>0</v>
      </c>
      <c r="D78" s="247">
        <f>SUMIF('Unos rashoda i izdataka'!$R$3:$R$498,'A.4 RASHODI FUNK'!$A78,'Unos rashoda i izdataka'!$K$3:$K$498)+SUMIF('Unos rashoda P4'!$T$3:$T$496,'A.4 RASHODI FUNK'!$A78,'Unos rashoda P4'!$I$3:$I$496)</f>
        <v>0</v>
      </c>
      <c r="E78" s="247">
        <f>SUMIF('Unos rashoda i izdataka'!$R$3:$R$498,'A.4 RASHODI FUNK'!$A78,'Unos rashoda i izdataka'!$L$3:$L$498)+SUMIF('Unos rashoda P4'!$T$3:$T$496,'A.4 RASHODI FUNK'!$A78,'Unos rashoda P4'!$J$3:$J$496)</f>
        <v>0</v>
      </c>
    </row>
    <row r="79" spans="1:5">
      <c r="A79" s="242">
        <v>104</v>
      </c>
      <c r="B79" s="35" t="s">
        <v>3678</v>
      </c>
      <c r="C79" s="247">
        <f>SUMIF('Unos rashoda i izdataka'!$R$3:$R$498,'A.4 RASHODI FUNK'!$A79,'Unos rashoda i izdataka'!$J$3:$J$498)+SUMIF('Unos rashoda P4'!$T$3:$T$496,'A.4 RASHODI FUNK'!$A79,'Unos rashoda P4'!$H$3:$H$496)</f>
        <v>0</v>
      </c>
      <c r="D79" s="247">
        <f>SUMIF('Unos rashoda i izdataka'!$R$3:$R$498,'A.4 RASHODI FUNK'!$A79,'Unos rashoda i izdataka'!$K$3:$K$498)+SUMIF('Unos rashoda P4'!$T$3:$T$496,'A.4 RASHODI FUNK'!$A79,'Unos rashoda P4'!$I$3:$I$496)</f>
        <v>0</v>
      </c>
      <c r="E79" s="247">
        <f>SUMIF('Unos rashoda i izdataka'!$R$3:$R$498,'A.4 RASHODI FUNK'!$A79,'Unos rashoda i izdataka'!$L$3:$L$498)+SUMIF('Unos rashoda P4'!$T$3:$T$496,'A.4 RASHODI FUNK'!$A79,'Unos rashoda P4'!$J$3:$J$496)</f>
        <v>0</v>
      </c>
    </row>
    <row r="80" spans="1:5">
      <c r="A80" s="242">
        <v>105</v>
      </c>
      <c r="B80" s="35" t="s">
        <v>3679</v>
      </c>
      <c r="C80" s="247">
        <f>SUMIF('Unos rashoda i izdataka'!$R$3:$R$498,'A.4 RASHODI FUNK'!$A80,'Unos rashoda i izdataka'!$J$3:$J$498)+SUMIF('Unos rashoda P4'!$T$3:$T$496,'A.4 RASHODI FUNK'!$A80,'Unos rashoda P4'!$H$3:$H$496)</f>
        <v>0</v>
      </c>
      <c r="D80" s="247">
        <f>SUMIF('Unos rashoda i izdataka'!$R$3:$R$498,'A.4 RASHODI FUNK'!$A80,'Unos rashoda i izdataka'!$K$3:$K$498)+SUMIF('Unos rashoda P4'!$T$3:$T$496,'A.4 RASHODI FUNK'!$A80,'Unos rashoda P4'!$I$3:$I$496)</f>
        <v>0</v>
      </c>
      <c r="E80" s="247">
        <f>SUMIF('Unos rashoda i izdataka'!$R$3:$R$498,'A.4 RASHODI FUNK'!$A80,'Unos rashoda i izdataka'!$L$3:$L$498)+SUMIF('Unos rashoda P4'!$T$3:$T$496,'A.4 RASHODI FUNK'!$A80,'Unos rashoda P4'!$J$3:$J$496)</f>
        <v>0</v>
      </c>
    </row>
    <row r="81" spans="1:5">
      <c r="A81" s="242">
        <v>106</v>
      </c>
      <c r="B81" s="35" t="s">
        <v>3680</v>
      </c>
      <c r="C81" s="247">
        <f>SUMIF('Unos rashoda i izdataka'!$R$3:$R$498,'A.4 RASHODI FUNK'!$A81,'Unos rashoda i izdataka'!$J$3:$J$498)+SUMIF('Unos rashoda P4'!$T$3:$T$496,'A.4 RASHODI FUNK'!$A81,'Unos rashoda P4'!$H$3:$H$496)</f>
        <v>0</v>
      </c>
      <c r="D81" s="247">
        <f>SUMIF('Unos rashoda i izdataka'!$R$3:$R$498,'A.4 RASHODI FUNK'!$A81,'Unos rashoda i izdataka'!$K$3:$K$498)+SUMIF('Unos rashoda P4'!$T$3:$T$496,'A.4 RASHODI FUNK'!$A81,'Unos rashoda P4'!$I$3:$I$496)</f>
        <v>0</v>
      </c>
      <c r="E81" s="247">
        <f>SUMIF('Unos rashoda i izdataka'!$R$3:$R$498,'A.4 RASHODI FUNK'!$A81,'Unos rashoda i izdataka'!$L$3:$L$498)+SUMIF('Unos rashoda P4'!$T$3:$T$496,'A.4 RASHODI FUNK'!$A81,'Unos rashoda P4'!$J$3:$J$496)</f>
        <v>0</v>
      </c>
    </row>
    <row r="82" spans="1:5" ht="25.5">
      <c r="A82" s="242">
        <v>107</v>
      </c>
      <c r="B82" s="35" t="s">
        <v>3681</v>
      </c>
      <c r="C82" s="247">
        <f>SUMIF('Unos rashoda i izdataka'!$R$3:$R$498,'A.4 RASHODI FUNK'!$A82,'Unos rashoda i izdataka'!$J$3:$J$498)+SUMIF('Unos rashoda P4'!$T$3:$T$496,'A.4 RASHODI FUNK'!$A82,'Unos rashoda P4'!$H$3:$H$496)</f>
        <v>0</v>
      </c>
      <c r="D82" s="247">
        <f>SUMIF('Unos rashoda i izdataka'!$R$3:$R$498,'A.4 RASHODI FUNK'!$A82,'Unos rashoda i izdataka'!$K$3:$K$498)+SUMIF('Unos rashoda P4'!$T$3:$T$496,'A.4 RASHODI FUNK'!$A82,'Unos rashoda P4'!$I$3:$I$496)</f>
        <v>0</v>
      </c>
      <c r="E82" s="247">
        <f>SUMIF('Unos rashoda i izdataka'!$R$3:$R$498,'A.4 RASHODI FUNK'!$A82,'Unos rashoda i izdataka'!$L$3:$L$498)+SUMIF('Unos rashoda P4'!$T$3:$T$496,'A.4 RASHODI FUNK'!$A82,'Unos rashoda P4'!$J$3:$J$496)</f>
        <v>0</v>
      </c>
    </row>
    <row r="83" spans="1:5">
      <c r="A83" s="242">
        <v>108</v>
      </c>
      <c r="B83" s="35" t="s">
        <v>3682</v>
      </c>
      <c r="C83" s="247">
        <f>SUMIF('Unos rashoda i izdataka'!$R$3:$R$498,'A.4 RASHODI FUNK'!$A83,'Unos rashoda i izdataka'!$J$3:$J$498)+SUMIF('Unos rashoda P4'!$T$3:$T$496,'A.4 RASHODI FUNK'!$A83,'Unos rashoda P4'!$H$3:$H$496)</f>
        <v>0</v>
      </c>
      <c r="D83" s="247">
        <f>SUMIF('Unos rashoda i izdataka'!$R$3:$R$498,'A.4 RASHODI FUNK'!$A83,'Unos rashoda i izdataka'!$K$3:$K$498)+SUMIF('Unos rashoda P4'!$T$3:$T$496,'A.4 RASHODI FUNK'!$A83,'Unos rashoda P4'!$I$3:$I$496)</f>
        <v>0</v>
      </c>
      <c r="E83" s="247">
        <f>SUMIF('Unos rashoda i izdataka'!$R$3:$R$498,'A.4 RASHODI FUNK'!$A83,'Unos rashoda i izdataka'!$L$3:$L$498)+SUMIF('Unos rashoda P4'!$T$3:$T$496,'A.4 RASHODI FUNK'!$A83,'Unos rashoda P4'!$J$3:$J$496)</f>
        <v>0</v>
      </c>
    </row>
    <row r="84" spans="1:5" ht="25.5">
      <c r="A84" s="242">
        <v>109</v>
      </c>
      <c r="B84" s="35" t="s">
        <v>3683</v>
      </c>
      <c r="C84" s="247">
        <f>SUMIF('Unos rashoda i izdataka'!$R$3:$R$498,'A.4 RASHODI FUNK'!$A84,'Unos rashoda i izdataka'!$J$3:$J$498)+SUMIF('Unos rashoda P4'!$T$3:$T$496,'A.4 RASHODI FUNK'!$A84,'Unos rashoda P4'!$H$3:$H$496)</f>
        <v>0</v>
      </c>
      <c r="D84" s="247">
        <f>SUMIF('Unos rashoda i izdataka'!$R$3:$R$498,'A.4 RASHODI FUNK'!$A84,'Unos rashoda i izdataka'!$K$3:$K$498)+SUMIF('Unos rashoda P4'!$T$3:$T$496,'A.4 RASHODI FUNK'!$A84,'Unos rashoda P4'!$I$3:$I$496)</f>
        <v>0</v>
      </c>
      <c r="E84" s="247">
        <f>SUMIF('Unos rashoda i izdataka'!$R$3:$R$498,'A.4 RASHODI FUNK'!$A84,'Unos rashoda i izdataka'!$L$3:$L$498)+SUMIF('Unos rashoda P4'!$T$3:$T$496,'A.4 RASHODI FUNK'!$A84,'Unos rashoda P4'!$J$3:$J$496)</f>
        <v>0</v>
      </c>
    </row>
  </sheetData>
  <mergeCells count="1">
    <mergeCell ref="A1:E1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35"/>
  <sheetViews>
    <sheetView topLeftCell="A5" zoomScale="80" zoomScaleNormal="80" workbookViewId="0">
      <selection activeCell="B27" sqref="B27"/>
    </sheetView>
  </sheetViews>
  <sheetFormatPr defaultColWidth="11.42578125" defaultRowHeight="12.75"/>
  <cols>
    <col min="1" max="1" width="4.85546875" style="1" customWidth="1"/>
    <col min="2" max="2" width="59" style="1" customWidth="1"/>
    <col min="3" max="3" width="14.85546875" style="1" customWidth="1"/>
    <col min="4" max="7" width="13.85546875" style="1" customWidth="1"/>
    <col min="8" max="8" width="13.85546875" style="20" customWidth="1"/>
    <col min="9" max="22" width="13.85546875" style="1" customWidth="1"/>
    <col min="23" max="23" width="7.85546875" style="1" customWidth="1"/>
    <col min="24" max="16384" width="11.42578125" style="1"/>
  </cols>
  <sheetData>
    <row r="2" spans="1:22" ht="15.6" customHeight="1">
      <c r="A2" s="271" t="s">
        <v>3684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1:22" s="31" customFormat="1" ht="15">
      <c r="A3" s="30"/>
      <c r="B3" s="30"/>
      <c r="C3" s="30"/>
      <c r="R3" s="32"/>
      <c r="V3" s="159" t="s">
        <v>58</v>
      </c>
    </row>
    <row r="4" spans="1:22" s="31" customFormat="1" ht="15.6" customHeight="1">
      <c r="A4" s="272" t="s">
        <v>3685</v>
      </c>
      <c r="B4" s="273"/>
      <c r="C4" s="274" t="s">
        <v>62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6"/>
      <c r="U4" s="118"/>
      <c r="V4" s="118"/>
    </row>
    <row r="5" spans="1:22" s="31" customFormat="1" ht="89.25">
      <c r="A5" s="33" t="s">
        <v>3520</v>
      </c>
      <c r="B5" s="33" t="s">
        <v>3521</v>
      </c>
      <c r="C5" s="156" t="s">
        <v>3522</v>
      </c>
      <c r="D5" s="119" t="s">
        <v>3523</v>
      </c>
      <c r="E5" s="119" t="s">
        <v>3524</v>
      </c>
      <c r="F5" s="119" t="s">
        <v>3525</v>
      </c>
      <c r="G5" s="119" t="s">
        <v>3526</v>
      </c>
      <c r="H5" s="119" t="s">
        <v>3527</v>
      </c>
      <c r="I5" s="119" t="s">
        <v>3528</v>
      </c>
      <c r="J5" s="119" t="s">
        <v>3529</v>
      </c>
      <c r="K5" s="119" t="s">
        <v>3530</v>
      </c>
      <c r="L5" s="119" t="s">
        <v>3531</v>
      </c>
      <c r="M5" s="119" t="s">
        <v>3532</v>
      </c>
      <c r="N5" s="119" t="s">
        <v>3533</v>
      </c>
      <c r="O5" s="119" t="s">
        <v>3534</v>
      </c>
      <c r="P5" s="119" t="s">
        <v>3535</v>
      </c>
      <c r="Q5" s="119" t="s">
        <v>3536</v>
      </c>
      <c r="R5" s="2" t="s">
        <v>3537</v>
      </c>
      <c r="S5" s="119" t="s">
        <v>3538</v>
      </c>
      <c r="T5" s="2" t="s">
        <v>3539</v>
      </c>
      <c r="U5" s="2" t="s">
        <v>3540</v>
      </c>
      <c r="V5" s="2" t="s">
        <v>3571</v>
      </c>
    </row>
    <row r="6" spans="1:22" s="6" customFormat="1" ht="12.6" customHeight="1">
      <c r="A6" s="49">
        <v>8</v>
      </c>
      <c r="B6" s="50" t="s">
        <v>112</v>
      </c>
      <c r="C6" s="53">
        <f>+H6+V6</f>
        <v>0</v>
      </c>
      <c r="D6" s="244"/>
      <c r="E6" s="244"/>
      <c r="F6" s="244"/>
      <c r="G6" s="244"/>
      <c r="H6" s="52">
        <f t="shared" ref="H6:V6" si="0">SUM(H7:H10)</f>
        <v>0</v>
      </c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52">
        <f t="shared" si="0"/>
        <v>0</v>
      </c>
    </row>
    <row r="7" spans="1:22" s="31" customFormat="1">
      <c r="A7" s="40">
        <v>81</v>
      </c>
      <c r="B7" s="41" t="s">
        <v>3686</v>
      </c>
      <c r="C7" s="23">
        <f>+H7+V7</f>
        <v>0</v>
      </c>
      <c r="D7" s="244"/>
      <c r="E7" s="244"/>
      <c r="F7" s="244"/>
      <c r="G7" s="244"/>
      <c r="H7" s="104">
        <f>SUMIFS('Unos prihoda i primitaka'!$G$3:$G$501,'Unos prihoda i primitaka'!$C$3:$C$501,"=43",'Unos prihoda i primitaka'!$L$3:$L$501,"=81")</f>
        <v>0</v>
      </c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104">
        <f>SUMIFS('Unos prihoda i primitaka'!$G$3:$G$501,'Unos prihoda i primitaka'!$C$3:$C$501,"=81",'Unos prihoda i primitaka'!$L$3:$L$501,"=81")</f>
        <v>0</v>
      </c>
    </row>
    <row r="8" spans="1:22" s="31" customFormat="1">
      <c r="A8" s="40">
        <v>82</v>
      </c>
      <c r="B8" s="41" t="s">
        <v>3687</v>
      </c>
      <c r="C8" s="23">
        <f t="shared" ref="C8:C10" si="1">+H8+V8</f>
        <v>0</v>
      </c>
      <c r="D8" s="244"/>
      <c r="E8" s="244"/>
      <c r="F8" s="244"/>
      <c r="G8" s="244"/>
      <c r="H8" s="104">
        <f>SUMIFS('Unos prihoda i primitaka'!$G$3:$G$501,'Unos prihoda i primitaka'!$C$3:$C$501,"=43",'Unos prihoda i primitaka'!$L$3:$L$501,"=82")</f>
        <v>0</v>
      </c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104">
        <f>SUMIFS('Unos prihoda i primitaka'!$G$3:$G$501,'Unos prihoda i primitaka'!$C$3:$C$501,"=81",'Unos prihoda i primitaka'!$L$3:$L$501,"=82")</f>
        <v>0</v>
      </c>
    </row>
    <row r="9" spans="1:22" s="31" customFormat="1">
      <c r="A9" s="40">
        <v>83</v>
      </c>
      <c r="B9" s="41" t="s">
        <v>3688</v>
      </c>
      <c r="C9" s="23">
        <f t="shared" si="1"/>
        <v>0</v>
      </c>
      <c r="D9" s="244"/>
      <c r="E9" s="244"/>
      <c r="F9" s="244"/>
      <c r="G9" s="244"/>
      <c r="H9" s="104">
        <f>SUMIFS('Unos prihoda i primitaka'!$G$3:$G$501,'Unos prihoda i primitaka'!$C$3:$C$501,"=43",'Unos prihoda i primitaka'!$L$3:$L$501,"=83")</f>
        <v>0</v>
      </c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104">
        <f>SUMIFS('Unos prihoda i primitaka'!$G$3:$G$501,'Unos prihoda i primitaka'!$C$3:$C$501,"=81",'Unos prihoda i primitaka'!$L$3:$L$501,"=83")</f>
        <v>0</v>
      </c>
    </row>
    <row r="10" spans="1:22" s="31" customFormat="1">
      <c r="A10" s="40">
        <v>84</v>
      </c>
      <c r="B10" s="41" t="s">
        <v>3689</v>
      </c>
      <c r="C10" s="23">
        <f t="shared" si="1"/>
        <v>0</v>
      </c>
      <c r="D10" s="244"/>
      <c r="E10" s="244"/>
      <c r="F10" s="244"/>
      <c r="G10" s="244"/>
      <c r="H10" s="104">
        <f>SUMIFS('Unos prihoda i primitaka'!$G$3:$G$501,'Unos prihoda i primitaka'!$C$3:$C$501,"=43",'Unos prihoda i primitaka'!$L$3:$L$501,"=84")</f>
        <v>0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104">
        <f>SUMIFS('Unos prihoda i primitaka'!$G$3:$G$501,'Unos prihoda i primitaka'!$C$3:$C$501,"=81",'Unos prihoda i primitaka'!$L$3:$L$501,"=84")</f>
        <v>0</v>
      </c>
    </row>
    <row r="11" spans="1:22" s="6" customFormat="1" ht="12.6" customHeight="1">
      <c r="A11" s="49">
        <v>5</v>
      </c>
      <c r="B11" s="50" t="s">
        <v>117</v>
      </c>
      <c r="C11" s="53">
        <f t="shared" ref="C11:C13" si="2">SUM(D11:V11)</f>
        <v>0</v>
      </c>
      <c r="D11" s="52">
        <f>+D12+D13</f>
        <v>0</v>
      </c>
      <c r="E11" s="52">
        <f t="shared" ref="E11:V11" si="3">+E12+E13</f>
        <v>0</v>
      </c>
      <c r="F11" s="52">
        <f t="shared" si="3"/>
        <v>0</v>
      </c>
      <c r="G11" s="52">
        <f t="shared" si="3"/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2">
        <f t="shared" si="3"/>
        <v>0</v>
      </c>
      <c r="L11" s="52">
        <f t="shared" si="3"/>
        <v>0</v>
      </c>
      <c r="M11" s="52">
        <f t="shared" si="3"/>
        <v>0</v>
      </c>
      <c r="N11" s="52">
        <f t="shared" si="3"/>
        <v>0</v>
      </c>
      <c r="O11" s="52">
        <f t="shared" si="3"/>
        <v>0</v>
      </c>
      <c r="P11" s="52">
        <f t="shared" si="3"/>
        <v>0</v>
      </c>
      <c r="Q11" s="52">
        <f t="shared" si="3"/>
        <v>0</v>
      </c>
      <c r="R11" s="52">
        <f t="shared" si="3"/>
        <v>0</v>
      </c>
      <c r="S11" s="52">
        <f t="shared" si="3"/>
        <v>0</v>
      </c>
      <c r="T11" s="52">
        <f t="shared" si="3"/>
        <v>0</v>
      </c>
      <c r="U11" s="52">
        <f t="shared" si="3"/>
        <v>0</v>
      </c>
      <c r="V11" s="52">
        <f t="shared" si="3"/>
        <v>0</v>
      </c>
    </row>
    <row r="12" spans="1:22" s="31" customFormat="1">
      <c r="A12" s="40">
        <v>51</v>
      </c>
      <c r="B12" s="41" t="s">
        <v>3690</v>
      </c>
      <c r="C12" s="23">
        <f t="shared" si="2"/>
        <v>0</v>
      </c>
      <c r="D12" s="61">
        <f>SUMIFS('Unos rashoda i izdataka'!$J$3:$J$498,'Unos rashoda i izdataka'!$C$3:$C$498,"=11",'Unos rashoda i izdataka'!$P$3:$P$498,"=51")+SUMIFS('Unos rashoda P4'!$H$3:$H$496,'Unos rashoda P4'!$A$3:$A$496,"=11",'Unos rashoda P4'!$S$3:$S$496,"=51")</f>
        <v>0</v>
      </c>
      <c r="E12" s="61">
        <f>SUMIFS('Unos rashoda i izdataka'!$J$3:$J$498,'Unos rashoda i izdataka'!$C$3:$C$498,"=12",'Unos rashoda i izdataka'!$P$3:$P$498,"=51")+SUMIFS('Unos rashoda P4'!$H$3:$H$496,'Unos rashoda P4'!$A$3:$A$496,"=12",'Unos rashoda P4'!$S$3:$S$496,"=51")</f>
        <v>0</v>
      </c>
      <c r="F12" s="61">
        <f>SUMIFS('Unos rashoda i izdataka'!$J$3:$J$498,'Unos rashoda i izdataka'!$C$3:$C$498,"=31",'Unos rashoda i izdataka'!$P$3:$P$498,"=51")+SUMIFS('Unos rashoda P4'!$H$3:$H$496,'Unos rashoda P4'!$A$3:$A$496,"=31",'Unos rashoda P4'!$S$3:$S$496,"=51")</f>
        <v>0</v>
      </c>
      <c r="G12" s="61">
        <f>SUMIFS('Unos rashoda i izdataka'!$J$3:$J$498,'Unos rashoda i izdataka'!$C$3:$C$498,"=41",'Unos rashoda i izdataka'!$P$3:$P$498,"=51")+SUMIFS('Unos rashoda P4'!$H$3:$H$496,'Unos rashoda P4'!$A$3:$A$496,"=41",'Unos rashoda P4'!$S$3:$S$496,"=51")</f>
        <v>0</v>
      </c>
      <c r="H12" s="61">
        <f>SUMIFS('Unos rashoda i izdataka'!$J$3:$J$498,'Unos rashoda i izdataka'!$C$3:$C$498,"=43",'Unos rashoda i izdataka'!$P$3:$P$498,"=51")+SUMIFS('Unos rashoda P4'!$H$3:$H$496,'Unos rashoda P4'!$A$3:$A$496,"=43",'Unos rashoda P4'!$S$3:$S$496,"=51")</f>
        <v>0</v>
      </c>
      <c r="I12" s="61">
        <f>SUMIFS('Unos rashoda i izdataka'!$J$3:$J$498,'Unos rashoda i izdataka'!$C$3:$C$498,"=51",'Unos rashoda i izdataka'!$P$3:$P$498,"=51")+SUMIFS('Unos rashoda P4'!$H$3:$H$496,'Unos rashoda P4'!$A$3:$A$496,"=51",'Unos rashoda P4'!$S$3:$S$496,"=51")</f>
        <v>0</v>
      </c>
      <c r="J12" s="61">
        <f>SUMIFS('Unos rashoda i izdataka'!$J$3:$J$498,'Unos rashoda i izdataka'!$C$3:$C$498,"=52",'Unos rashoda i izdataka'!$P$3:$P$498,"=51")+SUMIFS('Unos rashoda P4'!$H$3:$H$496,'Unos rashoda P4'!$A$3:$A$496,"=52",'Unos rashoda P4'!$S$3:$S$496,"=51")</f>
        <v>0</v>
      </c>
      <c r="K12" s="61">
        <f>SUMIFS('Unos rashoda i izdataka'!$J$3:$J$498,'Unos rashoda i izdataka'!$C$3:$C$498,"=552",'Unos rashoda i izdataka'!$P$3:$P$498,"=51")+SUMIFS('Unos rashoda P4'!$H$3:$H$496,'Unos rashoda P4'!$A$3:$A$496,"=552",'Unos rashoda P4'!$S$3:$S$496,"=51")</f>
        <v>0</v>
      </c>
      <c r="L12" s="61">
        <f>SUMIFS('Unos rashoda i izdataka'!$J$3:$J$498,'Unos rashoda i izdataka'!$C$3:$C$498,"=559",'Unos rashoda i izdataka'!$P$3:$P$498,"=51")+SUMIFS('Unos rashoda P4'!$H$3:$H$496,'Unos rashoda P4'!$A$3:$A$496,"=559",'Unos rashoda P4'!$S$3:$S$496,"=51")</f>
        <v>0</v>
      </c>
      <c r="M12" s="61">
        <f>SUMIFS('Unos rashoda i izdataka'!$J$3:$J$498,'Unos rashoda i izdataka'!$C$3:$C$498,"=561",'Unos rashoda i izdataka'!$P$3:$P$498,"=51")+SUMIFS('Unos rashoda P4'!$H$3:$H$496,'Unos rashoda P4'!$A$3:$A$496,"=561",'Unos rashoda P4'!$S$3:$S$496,"=51")</f>
        <v>0</v>
      </c>
      <c r="N12" s="61">
        <f>SUMIFS('Unos rashoda i izdataka'!$J$3:$J$498,'Unos rashoda i izdataka'!$C$3:$C$498,"=563",'Unos rashoda i izdataka'!$P$3:$P$498,"=51")+SUMIFS('Unos rashoda P4'!$H$3:$H$496,'Unos rashoda P4'!$A$3:$A$496,"=563",'Unos rashoda P4'!$S$3:$S$496,"=51")</f>
        <v>0</v>
      </c>
      <c r="O12" s="61">
        <f>SUMIFS('Unos rashoda i izdataka'!$J$3:$J$498,'Unos rashoda i izdataka'!$C$3:$C$498,"=573",'Unos rashoda i izdataka'!$P$3:$P$498,"=51")+SUMIFS('Unos rashoda P4'!$H$3:$H$496,'Unos rashoda P4'!$A$3:$A$496,"=573",'Unos rashoda P4'!$S$3:$S$496,"=51")</f>
        <v>0</v>
      </c>
      <c r="P12" s="61">
        <f>SUMIFS('Unos rashoda i izdataka'!$J$3:$J$498,'Unos rashoda i izdataka'!$C$3:$C$498,"=575",'Unos rashoda i izdataka'!$P$3:$P$498,"=51")+SUMIFS('Unos rashoda P4'!$H$3:$H$496,'Unos rashoda P4'!$A$3:$A$496,"=575",'Unos rashoda P4'!$S$3:$S$496,"=51")</f>
        <v>0</v>
      </c>
      <c r="Q12" s="61">
        <f>SUMIFS('Unos rashoda i izdataka'!$J$3:$J$498,'Unos rashoda i izdataka'!$Q$3:$Q$498,"=576",'Unos rashoda i izdataka'!$P$3:$P$498,"=51")+SUMIFS('Unos rashoda P4'!$H$3:$H$496,'Unos rashoda P4'!$A$3:$A$496,"=576",'Unos rashoda P4'!$S$3:$S$496,"=51")</f>
        <v>0</v>
      </c>
      <c r="R12" s="61">
        <f>SUMIFS('Unos rashoda i izdataka'!$J$3:$J$498,'Unos rashoda i izdataka'!$C$3:$C$498,"=581",'Unos rashoda i izdataka'!$P$3:$P$498,"=51")+SUMIFS('Unos rashoda P4'!$H$3:$H$496,'Unos rashoda P4'!$A$3:$A$496,"=581",'Unos rashoda P4'!$S$3:$S$496,"=51")</f>
        <v>0</v>
      </c>
      <c r="S12" s="61">
        <f>SUMIFS('Unos rashoda i izdataka'!$J$3:$J$498,'Unos rashoda i izdataka'!$C$3:$C$498,"=61",'Unos rashoda i izdataka'!$P$3:$P$498,"=51")+SUMIFS('Unos rashoda P4'!$H$3:$H$496,'Unos rashoda P4'!$A$3:$A$496,"=61",'Unos rashoda P4'!$S$3:$S$496,"=51")</f>
        <v>0</v>
      </c>
      <c r="T12" s="61">
        <f>SUMIFS('Unos rashoda i izdataka'!$J$3:$J$498,'Unos rashoda i izdataka'!$C$3:$C$498,"=63",'Unos rashoda i izdataka'!$P$3:$P$498,"=51")+SUMIFS('Unos rashoda P4'!$H$3:$H$496,'Unos rashoda P4'!$A$3:$A$496,"=63",'Unos rashoda P4'!$S$3:$S$496,"=51")</f>
        <v>0</v>
      </c>
      <c r="U12" s="61">
        <f>SUMIFS('Unos rashoda i izdataka'!$J$3:$J$498,'Unos rashoda i izdataka'!$C$3:$C$498,"=71",'Unos rashoda i izdataka'!$P$3:$P$498,"=51")+SUMIFS('Unos rashoda P4'!$H$3:$H$496,'Unos rashoda P4'!$A$3:$A$496,"=71",'Unos rashoda P4'!$S$3:$S$496,"=51")</f>
        <v>0</v>
      </c>
      <c r="V12" s="61">
        <f>SUMIFS('Unos rashoda i izdataka'!$J$3:$J$498,'Unos rashoda i izdataka'!$C$3:$C$498,"=81",'Unos rashoda i izdataka'!$P$3:$P$498,"=51")+SUMIFS('Unos rashoda P4'!$H$3:$H$496,'Unos rashoda P4'!$A$3:$A$496,"=81",'Unos rashoda P4'!$S$3:$S$496,"=51")</f>
        <v>0</v>
      </c>
    </row>
    <row r="13" spans="1:22" s="31" customFormat="1">
      <c r="A13" s="40">
        <v>54</v>
      </c>
      <c r="B13" s="41" t="s">
        <v>3691</v>
      </c>
      <c r="C13" s="23">
        <f t="shared" si="2"/>
        <v>0</v>
      </c>
      <c r="D13" s="61">
        <f>SUMIFS('Unos rashoda i izdataka'!$J$3:$J$498,'Unos rashoda i izdataka'!$C$3:$C$498,"=11",'Unos rashoda i izdataka'!$P$3:$P$498,"=54")+SUMIFS('Unos rashoda P4'!$H$3:$H$496,'Unos rashoda P4'!$A$3:$A$496,"=11",'Unos rashoda P4'!$S$3:$S$496,"=54")</f>
        <v>0</v>
      </c>
      <c r="E13" s="61">
        <f>SUMIFS('Unos rashoda i izdataka'!$J$3:$J$498,'Unos rashoda i izdataka'!$C$3:$C$498,"=12",'Unos rashoda i izdataka'!$P$3:$P$498,"=54")+SUMIFS('Unos rashoda P4'!$H$3:$H$496,'Unos rashoda P4'!$A$3:$A$496,"=12",'Unos rashoda P4'!$S$3:$S$496,"=54")</f>
        <v>0</v>
      </c>
      <c r="F13" s="61">
        <f>SUMIFS('Unos rashoda i izdataka'!$J$3:$J$498,'Unos rashoda i izdataka'!$C$3:$C$498,"=31",'Unos rashoda i izdataka'!$P$3:$P$498,"=54")+SUMIFS('Unos rashoda P4'!$H$3:$H$496,'Unos rashoda P4'!$A$3:$A$496,"=31",'Unos rashoda P4'!$S$3:$S$496,"=54")</f>
        <v>0</v>
      </c>
      <c r="G13" s="61">
        <f>SUMIFS('Unos rashoda i izdataka'!$J$3:$J$498,'Unos rashoda i izdataka'!$C$3:$C$498,"=41",'Unos rashoda i izdataka'!$P$3:$P$498,"=54")+SUMIFS('Unos rashoda P4'!$H$3:$H$496,'Unos rashoda P4'!$A$3:$A$496,"=41",'Unos rashoda P4'!$S$3:$S$496,"=54")</f>
        <v>0</v>
      </c>
      <c r="H13" s="61">
        <f>SUMIFS('Unos rashoda i izdataka'!$J$3:$J$498,'Unos rashoda i izdataka'!$C$3:$C$498,"=43",'Unos rashoda i izdataka'!$P$3:$P$498,"=54")+SUMIFS('Unos rashoda P4'!$H$3:$H$496,'Unos rashoda P4'!$A$3:$A$496,"=43",'Unos rashoda P4'!$S$3:$S$496,"=54")</f>
        <v>0</v>
      </c>
      <c r="I13" s="61">
        <f>SUMIFS('Unos rashoda i izdataka'!$J$3:$J$498,'Unos rashoda i izdataka'!$C$3:$C$498,"=51",'Unos rashoda i izdataka'!$P$3:$P$498,"=54")+SUMIFS('Unos rashoda P4'!$H$3:$H$496,'Unos rashoda P4'!$A$3:$A$496,"=51",'Unos rashoda P4'!$S$3:$S$496,"=54")</f>
        <v>0</v>
      </c>
      <c r="J13" s="61">
        <f>SUMIFS('Unos rashoda i izdataka'!$J$3:$J$498,'Unos rashoda i izdataka'!$C$3:$C$498,"=52",'Unos rashoda i izdataka'!$P$3:$P$498,"=54")+SUMIFS('Unos rashoda P4'!$H$3:$H$496,'Unos rashoda P4'!$A$3:$A$496,"=52",'Unos rashoda P4'!$S$3:$S$496,"=54")</f>
        <v>0</v>
      </c>
      <c r="K13" s="61">
        <f>SUMIFS('Unos rashoda i izdataka'!$J$3:$J$498,'Unos rashoda i izdataka'!$C$3:$C$498,"=552",'Unos rashoda i izdataka'!$P$3:$P$498,"=54")+SUMIFS('Unos rashoda P4'!$H$3:$H$496,'Unos rashoda P4'!$A$3:$A$496,"=552",'Unos rashoda P4'!$S$3:$S$496,"=54")</f>
        <v>0</v>
      </c>
      <c r="L13" s="61">
        <f>SUMIFS('Unos rashoda i izdataka'!$J$3:$J$498,'Unos rashoda i izdataka'!$C$3:$C$498,"=559",'Unos rashoda i izdataka'!$P$3:$P$498,"=54")+SUMIFS('Unos rashoda P4'!$H$3:$H$496,'Unos rashoda P4'!$A$3:$A$496,"=559",'Unos rashoda P4'!$S$3:$S$496,"=54")</f>
        <v>0</v>
      </c>
      <c r="M13" s="61">
        <f>SUMIFS('Unos rashoda i izdataka'!$J$3:$J$498,'Unos rashoda i izdataka'!$C$3:$C$498,"=561",'Unos rashoda i izdataka'!$P$3:$P$498,"=54")+SUMIFS('Unos rashoda P4'!$H$3:$H$496,'Unos rashoda P4'!$A$3:$A$496,"=561",'Unos rashoda P4'!$S$3:$S$496,"=54")</f>
        <v>0</v>
      </c>
      <c r="N13" s="61">
        <f>SUMIFS('Unos rashoda i izdataka'!$J$3:$J$498,'Unos rashoda i izdataka'!$C$3:$C$498,"=563",'Unos rashoda i izdataka'!$P$3:$P$498,"=54")+SUMIFS('Unos rashoda P4'!$H$3:$H$496,'Unos rashoda P4'!$A$3:$A$496,"=563",'Unos rashoda P4'!$S$3:$S$496,"=54")</f>
        <v>0</v>
      </c>
      <c r="O13" s="61">
        <f>SUMIFS('Unos rashoda i izdataka'!$J$3:$J$498,'Unos rashoda i izdataka'!$C$3:$C$498,"=573",'Unos rashoda i izdataka'!$P$3:$P$498,"=54")+SUMIFS('Unos rashoda P4'!$H$3:$H$496,'Unos rashoda P4'!$A$3:$A$496,"=573",'Unos rashoda P4'!$S$3:$S$496,"=54")</f>
        <v>0</v>
      </c>
      <c r="P13" s="61">
        <f>SUMIFS('Unos rashoda i izdataka'!$J$3:$J$498,'Unos rashoda i izdataka'!$C$3:$C$498,"=575",'Unos rashoda i izdataka'!$P$3:$P$498,"=54")+SUMIFS('Unos rashoda P4'!$H$3:$H$496,'Unos rashoda P4'!$A$3:$A$496,"=575",'Unos rashoda P4'!$S$3:$S$496,"=54")</f>
        <v>0</v>
      </c>
      <c r="Q13" s="61">
        <f>SUMIFS('Unos rashoda i izdataka'!$J$3:$J$498,'Unos rashoda i izdataka'!$Q$3:$Q$498,"=576",'Unos rashoda i izdataka'!$P$3:$P$498,"=54")+SUMIFS('Unos rashoda P4'!$H$3:$H$496,'Unos rashoda P4'!$A$3:$A$496,"=576",'Unos rashoda P4'!$S$3:$S$496,"=54")</f>
        <v>0</v>
      </c>
      <c r="R13" s="61">
        <f>SUMIFS('Unos rashoda i izdataka'!$J$3:$J$498,'Unos rashoda i izdataka'!$C$3:$C$498,"=581",'Unos rashoda i izdataka'!$P$3:$P$498,"=54")+SUMIFS('Unos rashoda P4'!$H$3:$H$496,'Unos rashoda P4'!$A$3:$A$496,"=581",'Unos rashoda P4'!$S$3:$S$496,"=54")</f>
        <v>0</v>
      </c>
      <c r="S13" s="61">
        <f>SUMIFS('Unos rashoda i izdataka'!$J$3:$J$498,'Unos rashoda i izdataka'!$C$3:$C$498,"=61",'Unos rashoda i izdataka'!$P$3:$P$498,"=54")+SUMIFS('Unos rashoda P4'!$H$3:$H$496,'Unos rashoda P4'!$A$3:$A$496,"=61",'Unos rashoda P4'!$S$3:$S$496,"=54")</f>
        <v>0</v>
      </c>
      <c r="T13" s="61">
        <f>SUMIFS('Unos rashoda i izdataka'!$J$3:$J$498,'Unos rashoda i izdataka'!$C$3:$C$498,"=63",'Unos rashoda i izdataka'!$P$3:$P$498,"=54")+SUMIFS('Unos rashoda P4'!$H$3:$H$496,'Unos rashoda P4'!$A$3:$A$496,"=63",'Unos rashoda P4'!$S$3:$S$496,"=54")</f>
        <v>0</v>
      </c>
      <c r="U13" s="61">
        <f>SUMIFS('Unos rashoda i izdataka'!$J$3:$J$498,'Unos rashoda i izdataka'!$C$3:$C$498,"=71",'Unos rashoda i izdataka'!$P$3:$P$498,"=54")+SUMIFS('Unos rashoda P4'!$H$3:$H$496,'Unos rashoda P4'!$A$3:$A$496,"=71",'Unos rashoda P4'!$S$3:$S$496,"=54")</f>
        <v>0</v>
      </c>
      <c r="V13" s="61">
        <f>SUMIFS('Unos rashoda i izdataka'!$J$3:$J$498,'Unos rashoda i izdataka'!$C$3:$C$498,"=81",'Unos rashoda i izdataka'!$P$3:$P$498,"=54")+SUMIFS('Unos rashoda P4'!$H$3:$H$496,'Unos rashoda P4'!$A$3:$A$496,"=81",'Unos rashoda P4'!$S$3:$S$496,"=54")</f>
        <v>0</v>
      </c>
    </row>
    <row r="14" spans="1:22">
      <c r="A14" s="19"/>
      <c r="B14" s="19"/>
      <c r="C14" s="19"/>
      <c r="D14" s="19"/>
      <c r="E14" s="19"/>
      <c r="F14" s="19"/>
      <c r="G14" s="19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32"/>
      <c r="V14" s="32"/>
    </row>
    <row r="15" spans="1:22" s="31" customFormat="1" ht="15.75">
      <c r="A15" s="272" t="s">
        <v>3685</v>
      </c>
      <c r="B15" s="273"/>
      <c r="C15" s="274" t="s">
        <v>63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6"/>
      <c r="U15" s="118"/>
      <c r="V15" s="118"/>
    </row>
    <row r="16" spans="1:22" s="31" customFormat="1" ht="89.25">
      <c r="A16" s="33" t="s">
        <v>3520</v>
      </c>
      <c r="B16" s="33" t="s">
        <v>3521</v>
      </c>
      <c r="C16" s="156" t="s">
        <v>3522</v>
      </c>
      <c r="D16" s="119" t="s">
        <v>3523</v>
      </c>
      <c r="E16" s="119" t="s">
        <v>3524</v>
      </c>
      <c r="F16" s="119" t="s">
        <v>3525</v>
      </c>
      <c r="G16" s="119" t="s">
        <v>3526</v>
      </c>
      <c r="H16" s="119" t="s">
        <v>3527</v>
      </c>
      <c r="I16" s="119" t="s">
        <v>3528</v>
      </c>
      <c r="J16" s="119" t="s">
        <v>3529</v>
      </c>
      <c r="K16" s="119" t="s">
        <v>3530</v>
      </c>
      <c r="L16" s="119" t="s">
        <v>3531</v>
      </c>
      <c r="M16" s="119" t="s">
        <v>3532</v>
      </c>
      <c r="N16" s="119" t="s">
        <v>3533</v>
      </c>
      <c r="O16" s="119" t="s">
        <v>3534</v>
      </c>
      <c r="P16" s="119" t="s">
        <v>3535</v>
      </c>
      <c r="Q16" s="119" t="s">
        <v>3536</v>
      </c>
      <c r="R16" s="2" t="s">
        <v>3537</v>
      </c>
      <c r="S16" s="119" t="s">
        <v>3538</v>
      </c>
      <c r="T16" s="2" t="s">
        <v>3539</v>
      </c>
      <c r="U16" s="2" t="s">
        <v>3540</v>
      </c>
      <c r="V16" s="2" t="s">
        <v>3571</v>
      </c>
    </row>
    <row r="17" spans="1:22" s="6" customFormat="1" ht="12.6" customHeight="1">
      <c r="A17" s="49">
        <v>8</v>
      </c>
      <c r="B17" s="50" t="s">
        <v>112</v>
      </c>
      <c r="C17" s="53">
        <f>+H17+V17</f>
        <v>0</v>
      </c>
      <c r="D17" s="244"/>
      <c r="E17" s="244"/>
      <c r="F17" s="244"/>
      <c r="G17" s="244"/>
      <c r="H17" s="52">
        <f t="shared" ref="H17" si="4">SUM(H18:H21)</f>
        <v>0</v>
      </c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52">
        <f t="shared" ref="V17" si="5">SUM(V18:V21)</f>
        <v>0</v>
      </c>
    </row>
    <row r="18" spans="1:22" s="31" customFormat="1">
      <c r="A18" s="40">
        <v>81</v>
      </c>
      <c r="B18" s="41" t="s">
        <v>3686</v>
      </c>
      <c r="C18" s="23">
        <f>+H18+V18</f>
        <v>0</v>
      </c>
      <c r="D18" s="244"/>
      <c r="E18" s="244"/>
      <c r="F18" s="244"/>
      <c r="G18" s="244"/>
      <c r="H18" s="104">
        <f>SUMIFS('Unos prihoda i primitaka'!$H$3:$H$501,'Unos prihoda i primitaka'!$C$3:$C$501,"=43",'Unos prihoda i primitaka'!$L$3:$L$501,"=81")</f>
        <v>0</v>
      </c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104">
        <f>SUMIFS('Unos prihoda i primitaka'!$H$3:$H$501,'Unos prihoda i primitaka'!$C$3:$C$501,"=81",'Unos prihoda i primitaka'!$L$3:$L$501,"=81")</f>
        <v>0</v>
      </c>
    </row>
    <row r="19" spans="1:22" s="31" customFormat="1">
      <c r="A19" s="40">
        <v>82</v>
      </c>
      <c r="B19" s="41" t="s">
        <v>3687</v>
      </c>
      <c r="C19" s="23">
        <f t="shared" ref="C19:C21" si="6">+H19+V19</f>
        <v>0</v>
      </c>
      <c r="D19" s="244"/>
      <c r="E19" s="244"/>
      <c r="F19" s="244"/>
      <c r="G19" s="244"/>
      <c r="H19" s="104">
        <f>SUMIFS('Unos prihoda i primitaka'!$H$3:$H$501,'Unos prihoda i primitaka'!$C$3:$C$501,"=43",'Unos prihoda i primitaka'!$L$3:$L$501,"=82")</f>
        <v>0</v>
      </c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104">
        <f>SUMIFS('Unos prihoda i primitaka'!$H$3:$H$501,'Unos prihoda i primitaka'!$C$3:$C$501,"=81",'Unos prihoda i primitaka'!$L$3:$L$501,"=82")</f>
        <v>0</v>
      </c>
    </row>
    <row r="20" spans="1:22" s="31" customFormat="1">
      <c r="A20" s="40">
        <v>83</v>
      </c>
      <c r="B20" s="41" t="s">
        <v>3688</v>
      </c>
      <c r="C20" s="23">
        <f t="shared" si="6"/>
        <v>0</v>
      </c>
      <c r="D20" s="244"/>
      <c r="E20" s="244"/>
      <c r="F20" s="244"/>
      <c r="G20" s="244"/>
      <c r="H20" s="104">
        <f>SUMIFS('Unos prihoda i primitaka'!$H$3:$H$501,'Unos prihoda i primitaka'!$C$3:$C$501,"=43",'Unos prihoda i primitaka'!$L$3:$L$501,"=83")</f>
        <v>0</v>
      </c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104">
        <f>SUMIFS('Unos prihoda i primitaka'!$H$3:$H$501,'Unos prihoda i primitaka'!$C$3:$C$501,"=81",'Unos prihoda i primitaka'!$L$3:$L$501,"=83")</f>
        <v>0</v>
      </c>
    </row>
    <row r="21" spans="1:22" s="31" customFormat="1">
      <c r="A21" s="40">
        <v>84</v>
      </c>
      <c r="B21" s="41" t="s">
        <v>3689</v>
      </c>
      <c r="C21" s="23">
        <f t="shared" si="6"/>
        <v>0</v>
      </c>
      <c r="D21" s="244"/>
      <c r="E21" s="244"/>
      <c r="F21" s="244"/>
      <c r="G21" s="244"/>
      <c r="H21" s="104">
        <f>SUMIFS('Unos prihoda i primitaka'!$H$3:$H$501,'Unos prihoda i primitaka'!$C$3:$C$501,"=43",'Unos prihoda i primitaka'!$L$3:$L$501,"=84")</f>
        <v>0</v>
      </c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104">
        <f>SUMIFS('Unos prihoda i primitaka'!$H$3:$H$501,'Unos prihoda i primitaka'!$C$3:$C$501,"=81",'Unos prihoda i primitaka'!$L$3:$L$501,"=84")</f>
        <v>0</v>
      </c>
    </row>
    <row r="22" spans="1:22" s="6" customFormat="1" ht="12.6" customHeight="1">
      <c r="A22" s="49">
        <v>5</v>
      </c>
      <c r="B22" s="50" t="s">
        <v>117</v>
      </c>
      <c r="C22" s="53">
        <f t="shared" ref="C22:C24" si="7">SUM(D22:V22)</f>
        <v>0</v>
      </c>
      <c r="D22" s="52">
        <f>+D23+D24</f>
        <v>0</v>
      </c>
      <c r="E22" s="52">
        <f t="shared" ref="E22:V22" si="8">+E23+E24</f>
        <v>0</v>
      </c>
      <c r="F22" s="52">
        <f t="shared" si="8"/>
        <v>0</v>
      </c>
      <c r="G22" s="52">
        <f t="shared" si="8"/>
        <v>0</v>
      </c>
      <c r="H22" s="52">
        <f t="shared" si="8"/>
        <v>0</v>
      </c>
      <c r="I22" s="52">
        <f t="shared" si="8"/>
        <v>0</v>
      </c>
      <c r="J22" s="52">
        <f t="shared" si="8"/>
        <v>0</v>
      </c>
      <c r="K22" s="52">
        <f t="shared" si="8"/>
        <v>0</v>
      </c>
      <c r="L22" s="52">
        <f t="shared" si="8"/>
        <v>0</v>
      </c>
      <c r="M22" s="52">
        <f t="shared" si="8"/>
        <v>0</v>
      </c>
      <c r="N22" s="52">
        <f t="shared" si="8"/>
        <v>0</v>
      </c>
      <c r="O22" s="52">
        <f t="shared" si="8"/>
        <v>0</v>
      </c>
      <c r="P22" s="52">
        <f t="shared" si="8"/>
        <v>0</v>
      </c>
      <c r="Q22" s="52">
        <f t="shared" si="8"/>
        <v>0</v>
      </c>
      <c r="R22" s="52">
        <f t="shared" si="8"/>
        <v>0</v>
      </c>
      <c r="S22" s="52">
        <f t="shared" si="8"/>
        <v>0</v>
      </c>
      <c r="T22" s="52">
        <f t="shared" si="8"/>
        <v>0</v>
      </c>
      <c r="U22" s="52">
        <f t="shared" si="8"/>
        <v>0</v>
      </c>
      <c r="V22" s="52">
        <f t="shared" si="8"/>
        <v>0</v>
      </c>
    </row>
    <row r="23" spans="1:22" s="31" customFormat="1">
      <c r="A23" s="40">
        <v>51</v>
      </c>
      <c r="B23" s="41" t="s">
        <v>3690</v>
      </c>
      <c r="C23" s="23">
        <f t="shared" si="7"/>
        <v>0</v>
      </c>
      <c r="D23" s="61">
        <f>SUMIFS('Unos rashoda i izdataka'!$K$3:$K$498,'Unos rashoda i izdataka'!$C$3:$C$498,"=11",'Unos rashoda i izdataka'!$P$3:$P$498,"=51")+SUMIFS('Unos rashoda P4'!$I$3:$I$496,'Unos rashoda P4'!$A$3:$A$496,"=11",'Unos rashoda P4'!$S$3:$S$496,"=51")</f>
        <v>0</v>
      </c>
      <c r="E23" s="61">
        <f>SUMIFS('Unos rashoda i izdataka'!$K$3:$K$498,'Unos rashoda i izdataka'!$C$3:$C$498,"=12",'Unos rashoda i izdataka'!$P$3:$P$498,"=51")+SUMIFS('Unos rashoda P4'!$I$3:$I$496,'Unos rashoda P4'!$A$3:$A$496,"=12",'Unos rashoda P4'!$S$3:$S$496,"=51")</f>
        <v>0</v>
      </c>
      <c r="F23" s="61">
        <f>SUMIFS('Unos rashoda i izdataka'!$K$3:$K$498,'Unos rashoda i izdataka'!$C$3:$C$498,"=31",'Unos rashoda i izdataka'!$P$3:$P$498,"=51")+SUMIFS('Unos rashoda P4'!$I$3:$I$496,'Unos rashoda P4'!$A$3:$A$496,"=31",'Unos rashoda P4'!$S$3:$S$496,"=51")</f>
        <v>0</v>
      </c>
      <c r="G23" s="61">
        <f>SUMIFS('Unos rashoda i izdataka'!$K$3:$K$498,'Unos rashoda i izdataka'!$C$3:$C$498,"=41",'Unos rashoda i izdataka'!$P$3:$P$498,"=51")+SUMIFS('Unos rashoda P4'!$I$3:$I$496,'Unos rashoda P4'!$A$3:$A$496,"=41",'Unos rashoda P4'!$S$3:$S$496,"=51")</f>
        <v>0</v>
      </c>
      <c r="H23" s="61">
        <f>SUMIFS('Unos rashoda i izdataka'!$K$3:$K$498,'Unos rashoda i izdataka'!$C$3:$C$498,"=43",'Unos rashoda i izdataka'!$P$3:$P$498,"=51")+SUMIFS('Unos rashoda P4'!$I$3:$I$496,'Unos rashoda P4'!$A$3:$A$496,"=43",'Unos rashoda P4'!$S$3:$S$496,"=51")</f>
        <v>0</v>
      </c>
      <c r="I23" s="61">
        <f>SUMIFS('Unos rashoda i izdataka'!$K$3:$K$498,'Unos rashoda i izdataka'!$C$3:$C$498,"=51",'Unos rashoda i izdataka'!$P$3:$P$498,"=51")+SUMIFS('Unos rashoda P4'!$I$3:$I$496,'Unos rashoda P4'!$A$3:$A$496,"=51",'Unos rashoda P4'!$S$3:$S$496,"=51")</f>
        <v>0</v>
      </c>
      <c r="J23" s="61">
        <f>SUMIFS('Unos rashoda i izdataka'!$K$3:$K$498,'Unos rashoda i izdataka'!$C$3:$C$498,"=52",'Unos rashoda i izdataka'!$P$3:$P$498,"=51")+SUMIFS('Unos rashoda P4'!$I$3:$I$496,'Unos rashoda P4'!$A$3:$A$496,"=52",'Unos rashoda P4'!$S$3:$S$496,"=51")</f>
        <v>0</v>
      </c>
      <c r="K23" s="61">
        <f>SUMIFS('Unos rashoda i izdataka'!$K$3:$K$498,'Unos rashoda i izdataka'!$C$3:$C$498,"=552",'Unos rashoda i izdataka'!$P$3:$P$498,"=51")+SUMIFS('Unos rashoda P4'!$I$3:$I$496,'Unos rashoda P4'!$A$3:$A$496,"=552",'Unos rashoda P4'!$S$3:$S$496,"=51")</f>
        <v>0</v>
      </c>
      <c r="L23" s="61">
        <f>SUMIFS('Unos rashoda i izdataka'!$K$3:$K$498,'Unos rashoda i izdataka'!$C$3:$C$498,"=559",'Unos rashoda i izdataka'!$P$3:$P$498,"=51")+SUMIFS('Unos rashoda P4'!$I$3:$I$496,'Unos rashoda P4'!$A$3:$A$496,"=559",'Unos rashoda P4'!$S$3:$S$496,"=51")</f>
        <v>0</v>
      </c>
      <c r="M23" s="61">
        <f>SUMIFS('Unos rashoda i izdataka'!$K$3:$K$498,'Unos rashoda i izdataka'!$C$3:$C$498,"=561",'Unos rashoda i izdataka'!$P$3:$P$498,"=51")+SUMIFS('Unos rashoda P4'!$I$3:$I$496,'Unos rashoda P4'!$A$3:$A$496,"=561",'Unos rashoda P4'!$S$3:$S$496,"=51")</f>
        <v>0</v>
      </c>
      <c r="N23" s="61">
        <f>SUMIFS('Unos rashoda i izdataka'!$K$3:$K$498,'Unos rashoda i izdataka'!$C$3:$C$498,"=563",'Unos rashoda i izdataka'!$P$3:$P$498,"=51")+SUMIFS('Unos rashoda P4'!$I$3:$I$496,'Unos rashoda P4'!$A$3:$A$496,"=563",'Unos rashoda P4'!$S$3:$S$496,"=51")</f>
        <v>0</v>
      </c>
      <c r="O23" s="61">
        <f>SUMIFS('Unos rashoda i izdataka'!$K$3:$K$498,'Unos rashoda i izdataka'!$C$3:$C$498,"=573",'Unos rashoda i izdataka'!$P$3:$P$498,"=51")+SUMIFS('Unos rashoda P4'!$I$3:$I$496,'Unos rashoda P4'!$A$3:$A$496,"=573",'Unos rashoda P4'!$S$3:$S$496,"=51")</f>
        <v>0</v>
      </c>
      <c r="P23" s="61">
        <f>SUMIFS('Unos rashoda i izdataka'!$K$3:$K$498,'Unos rashoda i izdataka'!$C$3:$C$498,"=575",'Unos rashoda i izdataka'!$P$3:$P$498,"=51")+SUMIFS('Unos rashoda P4'!$I$3:$I$496,'Unos rashoda P4'!$A$3:$A$496,"=575",'Unos rashoda P4'!$S$3:$S$496,"=51")</f>
        <v>0</v>
      </c>
      <c r="Q23" s="61">
        <f>SUMIFS('Unos rashoda i izdataka'!$K$3:$K$498,'Unos rashoda i izdataka'!$Q$3:$Q$498,"=576",'Unos rashoda i izdataka'!$P$3:$P$498,"=51")+SUMIFS('Unos rashoda P4'!$I$3:$I$496,'Unos rashoda P4'!$A$3:$A$496,"=576",'Unos rashoda P4'!$S$3:$S$496,"=51")</f>
        <v>0</v>
      </c>
      <c r="R23" s="61">
        <f>SUMIFS('Unos rashoda i izdataka'!$K$3:$K$498,'Unos rashoda i izdataka'!$C$3:$C$498,"=581",'Unos rashoda i izdataka'!$P$3:$P$498,"=51")+SUMIFS('Unos rashoda P4'!$I$3:$I$496,'Unos rashoda P4'!$A$3:$A$496,"=581",'Unos rashoda P4'!$S$3:$S$496,"=51")</f>
        <v>0</v>
      </c>
      <c r="S23" s="61">
        <f>SUMIFS('Unos rashoda i izdataka'!$K$3:$K$498,'Unos rashoda i izdataka'!$C$3:$C$498,"=61",'Unos rashoda i izdataka'!$P$3:$P$498,"=51")+SUMIFS('Unos rashoda P4'!$I$3:$I$496,'Unos rashoda P4'!$A$3:$A$496,"=61",'Unos rashoda P4'!$S$3:$S$496,"=51")</f>
        <v>0</v>
      </c>
      <c r="T23" s="61">
        <f>SUMIFS('Unos rashoda i izdataka'!$K$3:$K$498,'Unos rashoda i izdataka'!$C$3:$C$498,"=63",'Unos rashoda i izdataka'!$P$3:$P$498,"=51")+SUMIFS('Unos rashoda P4'!$I$3:$I$496,'Unos rashoda P4'!$A$3:$A$496,"=63",'Unos rashoda P4'!$S$3:$S$496,"=51")</f>
        <v>0</v>
      </c>
      <c r="U23" s="61">
        <f>SUMIFS('Unos rashoda i izdataka'!$K$3:$K$498,'Unos rashoda i izdataka'!$C$3:$C$498,"=71",'Unos rashoda i izdataka'!$P$3:$P$498,"=51")+SUMIFS('Unos rashoda P4'!$I$3:$I$496,'Unos rashoda P4'!$A$3:$A$496,"=71",'Unos rashoda P4'!$S$3:$S$496,"=51")</f>
        <v>0</v>
      </c>
      <c r="V23" s="61">
        <f>SUMIFS('Unos rashoda i izdataka'!$K$3:$K$498,'Unos rashoda i izdataka'!$C$3:$C$498,"=81",'Unos rashoda i izdataka'!$P$3:$P$498,"=51")+SUMIFS('Unos rashoda P4'!$I$3:$I$496,'Unos rashoda P4'!$A$3:$A$496,"=81",'Unos rashoda P4'!$S$3:$S$496,"=51")</f>
        <v>0</v>
      </c>
    </row>
    <row r="24" spans="1:22" s="31" customFormat="1">
      <c r="A24" s="40">
        <v>54</v>
      </c>
      <c r="B24" s="41" t="s">
        <v>3691</v>
      </c>
      <c r="C24" s="23">
        <f t="shared" si="7"/>
        <v>0</v>
      </c>
      <c r="D24" s="61">
        <f>SUMIFS('Unos rashoda i izdataka'!$K$3:$K$498,'Unos rashoda i izdataka'!$C$3:$C$498,"=11",'Unos rashoda i izdataka'!$P$3:$P$498,"=54")+SUMIFS('Unos rashoda P4'!$I$3:$I$496,'Unos rashoda P4'!$A$3:$A$496,"=11",'Unos rashoda P4'!$S$3:$S$496,"=54")</f>
        <v>0</v>
      </c>
      <c r="E24" s="61">
        <f>SUMIFS('Unos rashoda i izdataka'!$K$3:$K$498,'Unos rashoda i izdataka'!$C$3:$C$498,"=12",'Unos rashoda i izdataka'!$P$3:$P$498,"=54")+SUMIFS('Unos rashoda P4'!$I$3:$I$496,'Unos rashoda P4'!$A$3:$A$496,"=12",'Unos rashoda P4'!$S$3:$S$496,"=54")</f>
        <v>0</v>
      </c>
      <c r="F24" s="61">
        <f>SUMIFS('Unos rashoda i izdataka'!$K$3:$K$498,'Unos rashoda i izdataka'!$C$3:$C$498,"=31",'Unos rashoda i izdataka'!$P$3:$P$498,"=54")+SUMIFS('Unos rashoda P4'!$I$3:$I$496,'Unos rashoda P4'!$A$3:$A$496,"=31",'Unos rashoda P4'!$S$3:$S$496,"=54")</f>
        <v>0</v>
      </c>
      <c r="G24" s="61">
        <f>SUMIFS('Unos rashoda i izdataka'!$K$3:$K$498,'Unos rashoda i izdataka'!$C$3:$C$498,"=41",'Unos rashoda i izdataka'!$P$3:$P$498,"=54")+SUMIFS('Unos rashoda P4'!$I$3:$I$496,'Unos rashoda P4'!$A$3:$A$496,"=41",'Unos rashoda P4'!$S$3:$S$496,"=54")</f>
        <v>0</v>
      </c>
      <c r="H24" s="61">
        <f>SUMIFS('Unos rashoda i izdataka'!$K$3:$K$498,'Unos rashoda i izdataka'!$C$3:$C$498,"=43",'Unos rashoda i izdataka'!$P$3:$P$498,"=54")+SUMIFS('Unos rashoda P4'!$I$3:$I$496,'Unos rashoda P4'!$A$3:$A$496,"=43",'Unos rashoda P4'!$S$3:$S$496,"=54")</f>
        <v>0</v>
      </c>
      <c r="I24" s="61">
        <f>SUMIFS('Unos rashoda i izdataka'!$K$3:$K$498,'Unos rashoda i izdataka'!$C$3:$C$498,"=51",'Unos rashoda i izdataka'!$P$3:$P$498,"=54")+SUMIFS('Unos rashoda P4'!$I$3:$I$496,'Unos rashoda P4'!$A$3:$A$496,"=51",'Unos rashoda P4'!$S$3:$S$496,"=54")</f>
        <v>0</v>
      </c>
      <c r="J24" s="61">
        <f>SUMIFS('Unos rashoda i izdataka'!$K$3:$K$498,'Unos rashoda i izdataka'!$C$3:$C$498,"=52",'Unos rashoda i izdataka'!$P$3:$P$498,"=54")+SUMIFS('Unos rashoda P4'!$I$3:$I$496,'Unos rashoda P4'!$A$3:$A$496,"=52",'Unos rashoda P4'!$S$3:$S$496,"=54")</f>
        <v>0</v>
      </c>
      <c r="K24" s="61">
        <f>SUMIFS('Unos rashoda i izdataka'!$K$3:$K$498,'Unos rashoda i izdataka'!$C$3:$C$498,"=552",'Unos rashoda i izdataka'!$P$3:$P$498,"=54")+SUMIFS('Unos rashoda P4'!$I$3:$I$496,'Unos rashoda P4'!$A$3:$A$496,"=552",'Unos rashoda P4'!$S$3:$S$496,"=54")</f>
        <v>0</v>
      </c>
      <c r="L24" s="61">
        <f>SUMIFS('Unos rashoda i izdataka'!$K$3:$K$498,'Unos rashoda i izdataka'!$C$3:$C$498,"=559",'Unos rashoda i izdataka'!$P$3:$P$498,"=54")+SUMIFS('Unos rashoda P4'!$I$3:$I$496,'Unos rashoda P4'!$A$3:$A$496,"=559",'Unos rashoda P4'!$S$3:$S$496,"=54")</f>
        <v>0</v>
      </c>
      <c r="M24" s="61">
        <f>SUMIFS('Unos rashoda i izdataka'!$K$3:$K$498,'Unos rashoda i izdataka'!$C$3:$C$498,"=561",'Unos rashoda i izdataka'!$P$3:$P$498,"=54")+SUMIFS('Unos rashoda P4'!$I$3:$I$496,'Unos rashoda P4'!$A$3:$A$496,"=561",'Unos rashoda P4'!$S$3:$S$496,"=54")</f>
        <v>0</v>
      </c>
      <c r="N24" s="61">
        <f>SUMIFS('Unos rashoda i izdataka'!$K$3:$K$498,'Unos rashoda i izdataka'!$C$3:$C$498,"=563",'Unos rashoda i izdataka'!$P$3:$P$498,"=54")+SUMIFS('Unos rashoda P4'!$I$3:$I$496,'Unos rashoda P4'!$A$3:$A$496,"=563",'Unos rashoda P4'!$S$3:$S$496,"=54")</f>
        <v>0</v>
      </c>
      <c r="O24" s="61">
        <f>SUMIFS('Unos rashoda i izdataka'!$K$3:$K$498,'Unos rashoda i izdataka'!$C$3:$C$498,"=573",'Unos rashoda i izdataka'!$P$3:$P$498,"=54")+SUMIFS('Unos rashoda P4'!$I$3:$I$496,'Unos rashoda P4'!$A$3:$A$496,"=573",'Unos rashoda P4'!$S$3:$S$496,"=54")</f>
        <v>0</v>
      </c>
      <c r="P24" s="61">
        <f>SUMIFS('Unos rashoda i izdataka'!$K$3:$K$498,'Unos rashoda i izdataka'!$C$3:$C$498,"=575",'Unos rashoda i izdataka'!$P$3:$P$498,"=54")+SUMIFS('Unos rashoda P4'!$I$3:$I$496,'Unos rashoda P4'!$A$3:$A$496,"=575",'Unos rashoda P4'!$S$3:$S$496,"=54")</f>
        <v>0</v>
      </c>
      <c r="Q24" s="61">
        <f>SUMIFS('Unos rashoda i izdataka'!$K$3:$K$498,'Unos rashoda i izdataka'!$Q$3:$Q$498,"=576",'Unos rashoda i izdataka'!$P$3:$P$498,"=54")+SUMIFS('Unos rashoda P4'!$I$3:$I$496,'Unos rashoda P4'!$A$3:$A$496,"=576",'Unos rashoda P4'!$S$3:$S$496,"=54")</f>
        <v>0</v>
      </c>
      <c r="R24" s="61">
        <f>SUMIFS('Unos rashoda i izdataka'!$K$3:$K$498,'Unos rashoda i izdataka'!$C$3:$C$498,"=581",'Unos rashoda i izdataka'!$P$3:$P$498,"=54")+SUMIFS('Unos rashoda P4'!$I$3:$I$496,'Unos rashoda P4'!$A$3:$A$496,"=581",'Unos rashoda P4'!$S$3:$S$496,"=54")</f>
        <v>0</v>
      </c>
      <c r="S24" s="61">
        <f>SUMIFS('Unos rashoda i izdataka'!$K$3:$K$498,'Unos rashoda i izdataka'!$C$3:$C$498,"=61",'Unos rashoda i izdataka'!$P$3:$P$498,"=54")+SUMIFS('Unos rashoda P4'!$I$3:$I$496,'Unos rashoda P4'!$A$3:$A$496,"=61",'Unos rashoda P4'!$S$3:$S$496,"=54")</f>
        <v>0</v>
      </c>
      <c r="T24" s="61">
        <f>SUMIFS('Unos rashoda i izdataka'!$K$3:$K$498,'Unos rashoda i izdataka'!$C$3:$C$498,"=63",'Unos rashoda i izdataka'!$P$3:$P$498,"=54")+SUMIFS('Unos rashoda P4'!$I$3:$I$496,'Unos rashoda P4'!$A$3:$A$496,"=63",'Unos rashoda P4'!$S$3:$S$496,"=54")</f>
        <v>0</v>
      </c>
      <c r="U24" s="61">
        <f>SUMIFS('Unos rashoda i izdataka'!$K$3:$K$498,'Unos rashoda i izdataka'!$C$3:$C$498,"=71",'Unos rashoda i izdataka'!$P$3:$P$498,"=54")+SUMIFS('Unos rashoda P4'!$I$3:$I$496,'Unos rashoda P4'!$A$3:$A$496,"=71",'Unos rashoda P4'!$S$3:$S$496,"=54")</f>
        <v>0</v>
      </c>
      <c r="V24" s="61">
        <f>SUMIFS('Unos rashoda i izdataka'!$K$3:$K$498,'Unos rashoda i izdataka'!$C$3:$C$498,"=81",'Unos rashoda i izdataka'!$P$3:$P$498,"=54")+SUMIFS('Unos rashoda P4'!$I$3:$I$496,'Unos rashoda P4'!$A$3:$A$496,"=81",'Unos rashoda P4'!$S$3:$S$496,"=54")</f>
        <v>0</v>
      </c>
    </row>
    <row r="25" spans="1:22">
      <c r="A25" s="19"/>
      <c r="B25" s="19"/>
      <c r="C25" s="19"/>
      <c r="D25" s="19"/>
      <c r="E25" s="19"/>
      <c r="F25" s="19"/>
      <c r="G25" s="19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32"/>
      <c r="V25" s="32"/>
    </row>
    <row r="26" spans="1:22" s="31" customFormat="1" ht="15.75">
      <c r="A26" s="272" t="s">
        <v>3685</v>
      </c>
      <c r="B26" s="273"/>
      <c r="C26" s="274" t="s">
        <v>64</v>
      </c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6"/>
      <c r="U26" s="118"/>
      <c r="V26" s="118"/>
    </row>
    <row r="27" spans="1:22" s="31" customFormat="1" ht="89.25">
      <c r="A27" s="33" t="s">
        <v>3520</v>
      </c>
      <c r="B27" s="33" t="s">
        <v>3521</v>
      </c>
      <c r="C27" s="156" t="s">
        <v>3522</v>
      </c>
      <c r="D27" s="144" t="s">
        <v>3523</v>
      </c>
      <c r="E27" s="144" t="s">
        <v>3524</v>
      </c>
      <c r="F27" s="144" t="s">
        <v>3525</v>
      </c>
      <c r="G27" s="144" t="s">
        <v>3526</v>
      </c>
      <c r="H27" s="144" t="s">
        <v>3527</v>
      </c>
      <c r="I27" s="144" t="s">
        <v>3528</v>
      </c>
      <c r="J27" s="144" t="s">
        <v>3529</v>
      </c>
      <c r="K27" s="144" t="s">
        <v>3530</v>
      </c>
      <c r="L27" s="144" t="s">
        <v>3531</v>
      </c>
      <c r="M27" s="144" t="s">
        <v>3532</v>
      </c>
      <c r="N27" s="144" t="s">
        <v>3533</v>
      </c>
      <c r="O27" s="144" t="s">
        <v>3534</v>
      </c>
      <c r="P27" s="144" t="s">
        <v>3535</v>
      </c>
      <c r="Q27" s="144" t="s">
        <v>3536</v>
      </c>
      <c r="R27" s="2" t="s">
        <v>3537</v>
      </c>
      <c r="S27" s="2" t="s">
        <v>3538</v>
      </c>
      <c r="T27" s="2" t="s">
        <v>3539</v>
      </c>
      <c r="U27" s="2" t="s">
        <v>3540</v>
      </c>
      <c r="V27" s="2" t="s">
        <v>3571</v>
      </c>
    </row>
    <row r="28" spans="1:22" s="6" customFormat="1" ht="12.6" customHeight="1">
      <c r="A28" s="49">
        <v>8</v>
      </c>
      <c r="B28" s="50" t="s">
        <v>112</v>
      </c>
      <c r="C28" s="53">
        <f>+H28+V28</f>
        <v>0</v>
      </c>
      <c r="D28" s="244"/>
      <c r="E28" s="244"/>
      <c r="F28" s="244"/>
      <c r="G28" s="244"/>
      <c r="H28" s="52">
        <f t="shared" ref="H28" si="9">SUM(H29:H32)</f>
        <v>0</v>
      </c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52">
        <f t="shared" ref="V28" si="10">SUM(V29:V32)</f>
        <v>0</v>
      </c>
    </row>
    <row r="29" spans="1:22" s="31" customFormat="1">
      <c r="A29" s="40">
        <v>81</v>
      </c>
      <c r="B29" s="41" t="s">
        <v>3686</v>
      </c>
      <c r="C29" s="23">
        <f>+H29+V29</f>
        <v>0</v>
      </c>
      <c r="D29" s="244"/>
      <c r="E29" s="244"/>
      <c r="F29" s="244"/>
      <c r="G29" s="244"/>
      <c r="H29" s="104">
        <f>SUMIFS('Unos prihoda i primitaka'!$I$3:$I$501,'Unos prihoda i primitaka'!$C$3:$C$501,"=43",'Unos prihoda i primitaka'!$L$3:$L$501,"=81")</f>
        <v>0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104">
        <f>SUMIFS('Unos prihoda i primitaka'!$I$3:$I$501,'Unos prihoda i primitaka'!$C$3:$C$501,"=81",'Unos prihoda i primitaka'!$L$3:$L$501,"=81")</f>
        <v>0</v>
      </c>
    </row>
    <row r="30" spans="1:22" s="31" customFormat="1">
      <c r="A30" s="40">
        <v>82</v>
      </c>
      <c r="B30" s="41" t="s">
        <v>3687</v>
      </c>
      <c r="C30" s="23">
        <f t="shared" ref="C30:C32" si="11">+H30+V30</f>
        <v>0</v>
      </c>
      <c r="D30" s="244"/>
      <c r="E30" s="244"/>
      <c r="F30" s="244"/>
      <c r="G30" s="244"/>
      <c r="H30" s="104">
        <f>SUMIFS('Unos prihoda i primitaka'!$I$3:$I$501,'Unos prihoda i primitaka'!$C$3:$C$501,"=43",'Unos prihoda i primitaka'!$L$3:$L$501,"=82")</f>
        <v>0</v>
      </c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104">
        <f>SUMIFS('Unos prihoda i primitaka'!$I$3:$I$501,'Unos prihoda i primitaka'!$C$3:$C$501,"=81",'Unos prihoda i primitaka'!$L$3:$L$501,"=82")</f>
        <v>0</v>
      </c>
    </row>
    <row r="31" spans="1:22" s="31" customFormat="1">
      <c r="A31" s="40">
        <v>83</v>
      </c>
      <c r="B31" s="41" t="s">
        <v>3688</v>
      </c>
      <c r="C31" s="23">
        <f t="shared" si="11"/>
        <v>0</v>
      </c>
      <c r="D31" s="244"/>
      <c r="E31" s="244"/>
      <c r="F31" s="244"/>
      <c r="G31" s="244"/>
      <c r="H31" s="104">
        <f>SUMIFS('Unos prihoda i primitaka'!$I$3:$I$501,'Unos prihoda i primitaka'!$C$3:$C$501,"=43",'Unos prihoda i primitaka'!$L$3:$L$501,"=83")</f>
        <v>0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104">
        <f>SUMIFS('Unos prihoda i primitaka'!$I$3:$I$501,'Unos prihoda i primitaka'!$C$3:$C$501,"=81",'Unos prihoda i primitaka'!$L$3:$L$501,"=83")</f>
        <v>0</v>
      </c>
    </row>
    <row r="32" spans="1:22" s="31" customFormat="1">
      <c r="A32" s="40">
        <v>84</v>
      </c>
      <c r="B32" s="41" t="s">
        <v>3689</v>
      </c>
      <c r="C32" s="23">
        <f t="shared" si="11"/>
        <v>0</v>
      </c>
      <c r="D32" s="244"/>
      <c r="E32" s="244"/>
      <c r="F32" s="244"/>
      <c r="G32" s="244"/>
      <c r="H32" s="104">
        <f>SUMIFS('Unos prihoda i primitaka'!$I$3:$I$501,'Unos prihoda i primitaka'!$C$3:$C$501,"=43",'Unos prihoda i primitaka'!$L$3:$L$501,"=84")</f>
        <v>0</v>
      </c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104">
        <f>SUMIFS('Unos prihoda i primitaka'!$I$3:$I$501,'Unos prihoda i primitaka'!$C$3:$C$501,"=81",'Unos prihoda i primitaka'!$L$3:$L$501,"=84")</f>
        <v>0</v>
      </c>
    </row>
    <row r="33" spans="1:22" s="6" customFormat="1" ht="12.6" customHeight="1">
      <c r="A33" s="49">
        <v>5</v>
      </c>
      <c r="B33" s="50" t="s">
        <v>117</v>
      </c>
      <c r="C33" s="53">
        <f>SUM(D33:V33)</f>
        <v>0</v>
      </c>
      <c r="D33" s="52">
        <f>+D34+D35</f>
        <v>0</v>
      </c>
      <c r="E33" s="52">
        <f t="shared" ref="E33:V33" si="12">+E34+E35</f>
        <v>0</v>
      </c>
      <c r="F33" s="52">
        <f t="shared" si="12"/>
        <v>0</v>
      </c>
      <c r="G33" s="52">
        <f t="shared" si="12"/>
        <v>0</v>
      </c>
      <c r="H33" s="52">
        <f t="shared" si="12"/>
        <v>0</v>
      </c>
      <c r="I33" s="52">
        <f t="shared" si="12"/>
        <v>0</v>
      </c>
      <c r="J33" s="52">
        <f t="shared" si="12"/>
        <v>0</v>
      </c>
      <c r="K33" s="52">
        <f t="shared" si="12"/>
        <v>0</v>
      </c>
      <c r="L33" s="52">
        <f t="shared" si="12"/>
        <v>0</v>
      </c>
      <c r="M33" s="52">
        <f t="shared" si="12"/>
        <v>0</v>
      </c>
      <c r="N33" s="52">
        <f t="shared" si="12"/>
        <v>0</v>
      </c>
      <c r="O33" s="52">
        <f t="shared" si="12"/>
        <v>0</v>
      </c>
      <c r="P33" s="52">
        <f t="shared" si="12"/>
        <v>0</v>
      </c>
      <c r="Q33" s="52">
        <f t="shared" si="12"/>
        <v>0</v>
      </c>
      <c r="R33" s="52">
        <f t="shared" si="12"/>
        <v>0</v>
      </c>
      <c r="S33" s="52">
        <f t="shared" si="12"/>
        <v>0</v>
      </c>
      <c r="T33" s="52">
        <f t="shared" si="12"/>
        <v>0</v>
      </c>
      <c r="U33" s="52">
        <f t="shared" si="12"/>
        <v>0</v>
      </c>
      <c r="V33" s="52">
        <f t="shared" si="12"/>
        <v>0</v>
      </c>
    </row>
    <row r="34" spans="1:22" s="31" customFormat="1">
      <c r="A34" s="40">
        <v>51</v>
      </c>
      <c r="B34" s="41" t="s">
        <v>3690</v>
      </c>
      <c r="C34" s="23">
        <f t="shared" ref="C34:C35" si="13">SUM(D34:V34)</f>
        <v>0</v>
      </c>
      <c r="D34" s="61">
        <f>SUMIFS('Unos rashoda i izdataka'!$L$3:$L$498,'Unos rashoda i izdataka'!$C$3:$C$498,"=11",'Unos rashoda i izdataka'!$P$3:$P$498,"=51")+SUMIFS('Unos rashoda P4'!$J$3:$J$496,'Unos rashoda P4'!$A$3:$A$496,"=11",'Unos rashoda P4'!$S$3:$S$496,"=51")</f>
        <v>0</v>
      </c>
      <c r="E34" s="61">
        <f>SUMIFS('Unos rashoda i izdataka'!$L$3:$L$498,'Unos rashoda i izdataka'!$C$3:$C$498,"=12",'Unos rashoda i izdataka'!$P$3:$P$498,"=51")+SUMIFS('Unos rashoda P4'!$J$3:$J$496,'Unos rashoda P4'!$A$3:$A$496,"=12",'Unos rashoda P4'!$S$3:$S$496,"=51")</f>
        <v>0</v>
      </c>
      <c r="F34" s="61">
        <f>SUMIFS('Unos rashoda i izdataka'!$L$3:$L$498,'Unos rashoda i izdataka'!$C$3:$C$498,"=31",'Unos rashoda i izdataka'!$P$3:$P$498,"=51")+SUMIFS('Unos rashoda P4'!$J$3:$J$496,'Unos rashoda P4'!$A$3:$A$496,"=31",'Unos rashoda P4'!$S$3:$S$496,"=51")</f>
        <v>0</v>
      </c>
      <c r="G34" s="61">
        <f>SUMIFS('Unos rashoda i izdataka'!$L$3:$L$498,'Unos rashoda i izdataka'!$C$3:$C$498,"=41",'Unos rashoda i izdataka'!$P$3:$P$498,"=51")+SUMIFS('Unos rashoda P4'!$J$3:$J$496,'Unos rashoda P4'!$A$3:$A$496,"=41",'Unos rashoda P4'!$S$3:$S$496,"=51")</f>
        <v>0</v>
      </c>
      <c r="H34" s="61">
        <f>SUMIFS('Unos rashoda i izdataka'!$L$3:$L$498,'Unos rashoda i izdataka'!$C$3:$C$498,"=43",'Unos rashoda i izdataka'!$P$3:$P$498,"=51")+SUMIFS('Unos rashoda P4'!$J$3:$J$496,'Unos rashoda P4'!$A$3:$A$496,"=43",'Unos rashoda P4'!$S$3:$S$496,"=51")</f>
        <v>0</v>
      </c>
      <c r="I34" s="61">
        <f>SUMIFS('Unos rashoda i izdataka'!$L$3:$L$498,'Unos rashoda i izdataka'!$C$3:$C$498,"=51",'Unos rashoda i izdataka'!$P$3:$P$498,"=51")+SUMIFS('Unos rashoda P4'!$J$3:$J$496,'Unos rashoda P4'!$A$3:$A$496,"=51",'Unos rashoda P4'!$S$3:$S$496,"=51")</f>
        <v>0</v>
      </c>
      <c r="J34" s="61">
        <f>SUMIFS('Unos rashoda i izdataka'!$L$3:$L$498,'Unos rashoda i izdataka'!$C$3:$C$498,"=52",'Unos rashoda i izdataka'!$P$3:$P$498,"=51")+SUMIFS('Unos rashoda P4'!$J$3:$J$496,'Unos rashoda P4'!$A$3:$A$496,"=52",'Unos rashoda P4'!$S$3:$S$496,"=51")</f>
        <v>0</v>
      </c>
      <c r="K34" s="61">
        <f>SUMIFS('Unos rashoda i izdataka'!$L$3:$L$498,'Unos rashoda i izdataka'!$C$3:$C$498,"=552",'Unos rashoda i izdataka'!$P$3:$P$498,"=51")+SUMIFS('Unos rashoda P4'!$J$3:$J$496,'Unos rashoda P4'!$A$3:$A$496,"=552",'Unos rashoda P4'!$S$3:$S$496,"=51")</f>
        <v>0</v>
      </c>
      <c r="L34" s="61">
        <f>SUMIFS('Unos rashoda i izdataka'!$L$3:$L$498,'Unos rashoda i izdataka'!$C$3:$C$498,"=559",'Unos rashoda i izdataka'!$P$3:$P$498,"=51")+SUMIFS('Unos rashoda P4'!$J$3:$J$496,'Unos rashoda P4'!$A$3:$A$496,"=559",'Unos rashoda P4'!$S$3:$S$496,"=51")</f>
        <v>0</v>
      </c>
      <c r="M34" s="61">
        <f>SUMIFS('Unos rashoda i izdataka'!$L$3:$L$498,'Unos rashoda i izdataka'!$C$3:$C$498,"=561",'Unos rashoda i izdataka'!$P$3:$P$498,"=51")+SUMIFS('Unos rashoda P4'!$J$3:$J$496,'Unos rashoda P4'!$A$3:$A$496,"=561",'Unos rashoda P4'!$S$3:$S$496,"=51")</f>
        <v>0</v>
      </c>
      <c r="N34" s="61">
        <f>SUMIFS('Unos rashoda i izdataka'!$L$3:$L$498,'Unos rashoda i izdataka'!$C$3:$C$498,"=563",'Unos rashoda i izdataka'!$P$3:$P$498,"=51")+SUMIFS('Unos rashoda P4'!$J$3:$J$496,'Unos rashoda P4'!$A$3:$A$496,"=563",'Unos rashoda P4'!$S$3:$S$496,"=51")</f>
        <v>0</v>
      </c>
      <c r="O34" s="61">
        <f>SUMIFS('Unos rashoda i izdataka'!$L$3:$L$498,'Unos rashoda i izdataka'!$C$3:$C$498,"=573",'Unos rashoda i izdataka'!$P$3:$P$498,"=51")+SUMIFS('Unos rashoda P4'!$J$3:$J$496,'Unos rashoda P4'!$A$3:$A$496,"=573",'Unos rashoda P4'!$S$3:$S$496,"=51")</f>
        <v>0</v>
      </c>
      <c r="P34" s="61">
        <f>SUMIFS('Unos rashoda i izdataka'!$L$3:$L$498,'Unos rashoda i izdataka'!$C$3:$C$498,"=575",'Unos rashoda i izdataka'!$P$3:$P$498,"=51")+SUMIFS('Unos rashoda P4'!$J$3:$J$496,'Unos rashoda P4'!$A$3:$A$496,"=575",'Unos rashoda P4'!$S$3:$S$496,"=51")</f>
        <v>0</v>
      </c>
      <c r="Q34" s="61">
        <f>SUMIFS('Unos rashoda i izdataka'!$L$3:$L$498,'Unos rashoda i izdataka'!$Q$3:$Q$498,"=576",'Unos rashoda i izdataka'!$P$3:$P$498,"=51")+SUMIFS('Unos rashoda P4'!$J$3:$J$496,'Unos rashoda P4'!$A$3:$A$496,"=576",'Unos rashoda P4'!$S$3:$S$496,"=51")</f>
        <v>0</v>
      </c>
      <c r="R34" s="61">
        <f>SUMIFS('Unos rashoda i izdataka'!$L$3:$L$498,'Unos rashoda i izdataka'!$C$3:$C$498,"=581",'Unos rashoda i izdataka'!$P$3:$P$498,"=51")+SUMIFS('Unos rashoda P4'!$J$3:$J$496,'Unos rashoda P4'!$A$3:$A$496,"=581",'Unos rashoda P4'!$S$3:$S$496,"=51")</f>
        <v>0</v>
      </c>
      <c r="S34" s="61">
        <f>SUMIFS('Unos rashoda i izdataka'!$L$3:$L$498,'Unos rashoda i izdataka'!$C$3:$C$498,"=61",'Unos rashoda i izdataka'!$P$3:$P$498,"=51")+SUMIFS('Unos rashoda P4'!$J$3:$J$496,'Unos rashoda P4'!$A$3:$A$496,"=61",'Unos rashoda P4'!$S$3:$S$496,"=51")</f>
        <v>0</v>
      </c>
      <c r="T34" s="61">
        <f>SUMIFS('Unos rashoda i izdataka'!$L$3:$L$498,'Unos rashoda i izdataka'!$C$3:$C$498,"=63",'Unos rashoda i izdataka'!$P$3:$P$498,"=51")+SUMIFS('Unos rashoda P4'!$J$3:$J$496,'Unos rashoda P4'!$A$3:$A$496,"=63",'Unos rashoda P4'!$S$3:$S$496,"=51")</f>
        <v>0</v>
      </c>
      <c r="U34" s="61">
        <f>SUMIFS('Unos rashoda i izdataka'!$L$3:$L$498,'Unos rashoda i izdataka'!$C$3:$C$498,"=71",'Unos rashoda i izdataka'!$P$3:$P$498,"=51")+SUMIFS('Unos rashoda P4'!$J$3:$J$496,'Unos rashoda P4'!$A$3:$A$496,"=71",'Unos rashoda P4'!$S$3:$S$496,"=51")</f>
        <v>0</v>
      </c>
      <c r="V34" s="61">
        <f>SUMIFS('Unos rashoda i izdataka'!$L$3:$L$498,'Unos rashoda i izdataka'!$C$3:$C$498,"=81",'Unos rashoda i izdataka'!$P$3:$P$498,"=51")+SUMIFS('Unos rashoda P4'!$J$3:$J$496,'Unos rashoda P4'!$A$3:$A$496,"=81",'Unos rashoda P4'!$S$3:$S$496,"=51")</f>
        <v>0</v>
      </c>
    </row>
    <row r="35" spans="1:22" s="31" customFormat="1">
      <c r="A35" s="40">
        <v>54</v>
      </c>
      <c r="B35" s="41" t="s">
        <v>3691</v>
      </c>
      <c r="C35" s="23">
        <f t="shared" si="13"/>
        <v>0</v>
      </c>
      <c r="D35" s="61">
        <f>SUMIFS('Unos rashoda i izdataka'!$L$3:$L$498,'Unos rashoda i izdataka'!$C$3:$C$498,"=11",'Unos rashoda i izdataka'!$P$3:$P$498,"=54")+SUMIFS('Unos rashoda P4'!$J$3:$J$496,'Unos rashoda P4'!$A$3:$A$496,"=11",'Unos rashoda P4'!$S$3:$S$496,"=54")</f>
        <v>0</v>
      </c>
      <c r="E35" s="61">
        <f>SUMIFS('Unos rashoda i izdataka'!$L$3:$L$498,'Unos rashoda i izdataka'!$C$3:$C$498,"=12",'Unos rashoda i izdataka'!$P$3:$P$498,"=54")+SUMIFS('Unos rashoda P4'!$J$3:$J$496,'Unos rashoda P4'!$A$3:$A$496,"=12",'Unos rashoda P4'!$S$3:$S$496,"=54")</f>
        <v>0</v>
      </c>
      <c r="F35" s="61">
        <f>SUMIFS('Unos rashoda i izdataka'!$L$3:$L$498,'Unos rashoda i izdataka'!$C$3:$C$498,"=31",'Unos rashoda i izdataka'!$P$3:$P$498,"=54")+SUMIFS('Unos rashoda P4'!$J$3:$J$496,'Unos rashoda P4'!$A$3:$A$496,"=31",'Unos rashoda P4'!$S$3:$S$496,"=54")</f>
        <v>0</v>
      </c>
      <c r="G35" s="61">
        <f>SUMIFS('Unos rashoda i izdataka'!$L$3:$L$498,'Unos rashoda i izdataka'!$C$3:$C$498,"=41",'Unos rashoda i izdataka'!$P$3:$P$498,"=54")+SUMIFS('Unos rashoda P4'!$J$3:$J$496,'Unos rashoda P4'!$A$3:$A$496,"=41",'Unos rashoda P4'!$S$3:$S$496,"=54")</f>
        <v>0</v>
      </c>
      <c r="H35" s="61">
        <f>SUMIFS('Unos rashoda i izdataka'!$L$3:$L$498,'Unos rashoda i izdataka'!$C$3:$C$498,"=43",'Unos rashoda i izdataka'!$P$3:$P$498,"=54")+SUMIFS('Unos rashoda P4'!$J$3:$J$496,'Unos rashoda P4'!$A$3:$A$496,"=43",'Unos rashoda P4'!$S$3:$S$496,"=54")</f>
        <v>0</v>
      </c>
      <c r="I35" s="61">
        <f>SUMIFS('Unos rashoda i izdataka'!$L$3:$L$498,'Unos rashoda i izdataka'!$C$3:$C$498,"=51",'Unos rashoda i izdataka'!$P$3:$P$498,"=54")+SUMIFS('Unos rashoda P4'!$J$3:$J$496,'Unos rashoda P4'!$A$3:$A$496,"=51",'Unos rashoda P4'!$S$3:$S$496,"=54")</f>
        <v>0</v>
      </c>
      <c r="J35" s="61">
        <f>SUMIFS('Unos rashoda i izdataka'!$L$3:$L$498,'Unos rashoda i izdataka'!$C$3:$C$498,"=52",'Unos rashoda i izdataka'!$P$3:$P$498,"=54")+SUMIFS('Unos rashoda P4'!$J$3:$J$496,'Unos rashoda P4'!$A$3:$A$496,"=52",'Unos rashoda P4'!$S$3:$S$496,"=54")</f>
        <v>0</v>
      </c>
      <c r="K35" s="61">
        <f>SUMIFS('Unos rashoda i izdataka'!$L$3:$L$498,'Unos rashoda i izdataka'!$C$3:$C$498,"=552",'Unos rashoda i izdataka'!$P$3:$P$498,"=54")+SUMIFS('Unos rashoda P4'!$J$3:$J$496,'Unos rashoda P4'!$A$3:$A$496,"=552",'Unos rashoda P4'!$S$3:$S$496,"=54")</f>
        <v>0</v>
      </c>
      <c r="L35" s="61">
        <f>SUMIFS('Unos rashoda i izdataka'!$L$3:$L$498,'Unos rashoda i izdataka'!$C$3:$C$498,"=559",'Unos rashoda i izdataka'!$P$3:$P$498,"=54")+SUMIFS('Unos rashoda P4'!$J$3:$J$496,'Unos rashoda P4'!$A$3:$A$496,"=559",'Unos rashoda P4'!$S$3:$S$496,"=54")</f>
        <v>0</v>
      </c>
      <c r="M35" s="61">
        <f>SUMIFS('Unos rashoda i izdataka'!$L$3:$L$498,'Unos rashoda i izdataka'!$C$3:$C$498,"=561",'Unos rashoda i izdataka'!$P$3:$P$498,"=54")+SUMIFS('Unos rashoda P4'!$J$3:$J$496,'Unos rashoda P4'!$A$3:$A$496,"=561",'Unos rashoda P4'!$S$3:$S$496,"=54")</f>
        <v>0</v>
      </c>
      <c r="N35" s="61">
        <f>SUMIFS('Unos rashoda i izdataka'!$L$3:$L$498,'Unos rashoda i izdataka'!$C$3:$C$498,"=563",'Unos rashoda i izdataka'!$P$3:$P$498,"=54")+SUMIFS('Unos rashoda P4'!$J$3:$J$496,'Unos rashoda P4'!$A$3:$A$496,"=563",'Unos rashoda P4'!$S$3:$S$496,"=54")</f>
        <v>0</v>
      </c>
      <c r="O35" s="61">
        <f>SUMIFS('Unos rashoda i izdataka'!$L$3:$L$498,'Unos rashoda i izdataka'!$C$3:$C$498,"=573",'Unos rashoda i izdataka'!$P$3:$P$498,"=54")+SUMIFS('Unos rashoda P4'!$J$3:$J$496,'Unos rashoda P4'!$A$3:$A$496,"=573",'Unos rashoda P4'!$S$3:$S$496,"=54")</f>
        <v>0</v>
      </c>
      <c r="P35" s="61">
        <f>SUMIFS('Unos rashoda i izdataka'!$L$3:$L$498,'Unos rashoda i izdataka'!$C$3:$C$498,"=575",'Unos rashoda i izdataka'!$P$3:$P$498,"=54")+SUMIFS('Unos rashoda P4'!$J$3:$J$496,'Unos rashoda P4'!$A$3:$A$496,"=575",'Unos rashoda P4'!$S$3:$S$496,"=54")</f>
        <v>0</v>
      </c>
      <c r="Q35" s="61">
        <f>SUMIFS('Unos rashoda i izdataka'!$L$3:$L$498,'Unos rashoda i izdataka'!$Q$3:$Q$498,"=576",'Unos rashoda i izdataka'!$P$3:$P$498,"=54")+SUMIFS('Unos rashoda P4'!$J$3:$J$496,'Unos rashoda P4'!$A$3:$A$496,"=576",'Unos rashoda P4'!$S$3:$S$496,"=54")</f>
        <v>0</v>
      </c>
      <c r="R35" s="61">
        <f>SUMIFS('Unos rashoda i izdataka'!$L$3:$L$498,'Unos rashoda i izdataka'!$C$3:$C$498,"=581",'Unos rashoda i izdataka'!$P$3:$P$498,"=54")+SUMIFS('Unos rashoda P4'!$J$3:$J$496,'Unos rashoda P4'!$A$3:$A$496,"=581",'Unos rashoda P4'!$S$3:$S$496,"=54")</f>
        <v>0</v>
      </c>
      <c r="S35" s="61">
        <f>SUMIFS('Unos rashoda i izdataka'!$L$3:$L$498,'Unos rashoda i izdataka'!$C$3:$C$498,"=61",'Unos rashoda i izdataka'!$P$3:$P$498,"=54")+SUMIFS('Unos rashoda P4'!$J$3:$J$496,'Unos rashoda P4'!$A$3:$A$496,"=61",'Unos rashoda P4'!$S$3:$S$496,"=54")</f>
        <v>0</v>
      </c>
      <c r="T35" s="61">
        <f>SUMIFS('Unos rashoda i izdataka'!$L$3:$L$498,'Unos rashoda i izdataka'!$C$3:$C$498,"=63",'Unos rashoda i izdataka'!$P$3:$P$498,"=54")+SUMIFS('Unos rashoda P4'!$J$3:$J$496,'Unos rashoda P4'!$A$3:$A$496,"=63",'Unos rashoda P4'!$S$3:$S$496,"=54")</f>
        <v>0</v>
      </c>
      <c r="U35" s="61">
        <f>SUMIFS('Unos rashoda i izdataka'!$L$3:$L$498,'Unos rashoda i izdataka'!$C$3:$C$498,"=71",'Unos rashoda i izdataka'!$P$3:$P$498,"=54")+SUMIFS('Unos rashoda P4'!$J$3:$J$496,'Unos rashoda P4'!$A$3:$A$496,"=71",'Unos rashoda P4'!$S$3:$S$496,"=54")</f>
        <v>0</v>
      </c>
      <c r="V35" s="61">
        <f>SUMIFS('Unos rashoda i izdataka'!$L$3:$L$498,'Unos rashoda i izdataka'!$C$3:$C$498,"=81",'Unos rashoda i izdataka'!$P$3:$P$498,"=54")+SUMIFS('Unos rashoda P4'!$J$3:$J$496,'Unos rashoda P4'!$A$3:$A$496,"=81",'Unos rashoda P4'!$S$3:$S$496,"=54")</f>
        <v>0</v>
      </c>
    </row>
  </sheetData>
  <mergeCells count="7">
    <mergeCell ref="A15:B15"/>
    <mergeCell ref="C15:T15"/>
    <mergeCell ref="A26:B26"/>
    <mergeCell ref="C26:T26"/>
    <mergeCell ref="A2:U2"/>
    <mergeCell ref="A4:B4"/>
    <mergeCell ref="C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ifain</dc:creator>
  <cp:keywords/>
  <dc:description/>
  <cp:lastModifiedBy>Gordana Mazalović</cp:lastModifiedBy>
  <cp:revision/>
  <dcterms:created xsi:type="dcterms:W3CDTF">2018-09-10T07:36:17Z</dcterms:created>
  <dcterms:modified xsi:type="dcterms:W3CDTF">2023-09-24T18:21:01Z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V5-Privitak 1 - Prijedlog financijskog plana_2023-2025.xlsx</vt:lpwstr>
  </property>
</Properties>
</file>